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lerk of Courts\Courthouse\TDT\REPORTS\History Spreadsheets\"/>
    </mc:Choice>
  </mc:AlternateContent>
  <xr:revisionPtr revIDLastSave="0" documentId="13_ncr:1_{E4EA737F-E46C-4975-8F93-65D4CAC72755}" xr6:coauthVersionLast="47" xr6:coauthVersionMax="47" xr10:uidLastSave="{00000000-0000-0000-0000-000000000000}"/>
  <bookViews>
    <workbookView xWindow="-120" yWindow="-120" windowWidth="29040" windowHeight="15720" tabRatio="907" activeTab="1" xr2:uid="{00000000-000D-0000-FFFF-FFFF00000000}"/>
  </bookViews>
  <sheets>
    <sheet name="NW FYTD YOY @ 2%" sheetId="8" r:id="rId1"/>
    <sheet name="FY2024-Present - 3% NW TDT" sheetId="9" r:id="rId2"/>
    <sheet name="FY2021-FY2023 - 2% NW TDT" sheetId="5" r:id="rId3"/>
  </sheets>
  <definedNames>
    <definedName name="_xlnm.Print_Titles" localSheetId="2">'FY2021-FY2023 - 2% NW TDT'!$1:$5</definedName>
    <definedName name="_xlnm.Print_Titles" localSheetId="1">'FY2024-Present - 3% NW TDT'!$1:$5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9" l="1"/>
  <c r="B45" i="9"/>
  <c r="L25" i="8" l="1"/>
  <c r="K25" i="8"/>
  <c r="J25" i="8"/>
  <c r="I25" i="8"/>
  <c r="H25" i="8"/>
  <c r="F25" i="8"/>
  <c r="I16" i="8" s="1"/>
  <c r="C44" i="9"/>
  <c r="B44" i="9"/>
  <c r="C43" i="9"/>
  <c r="B43" i="9"/>
  <c r="E16" i="8" l="1"/>
  <c r="F16" i="8"/>
  <c r="E15" i="8"/>
  <c r="C42" i="9"/>
  <c r="B42" i="9"/>
  <c r="H30" i="8" s="1"/>
  <c r="B49" i="8"/>
  <c r="B44" i="8"/>
  <c r="D16" i="8"/>
  <c r="D15" i="8"/>
  <c r="C16" i="8"/>
  <c r="C15" i="8"/>
  <c r="N25" i="8"/>
  <c r="M25" i="8"/>
  <c r="E25" i="8"/>
  <c r="C25" i="8"/>
  <c r="H31" i="8"/>
  <c r="H32" i="8"/>
  <c r="H33" i="8"/>
  <c r="G25" i="8" s="1"/>
  <c r="S16" i="8" s="1"/>
  <c r="T16" i="8" s="1"/>
  <c r="H34" i="8"/>
  <c r="H35" i="8"/>
  <c r="H36" i="8"/>
  <c r="H37" i="8"/>
  <c r="H38" i="8"/>
  <c r="H39" i="8"/>
  <c r="H40" i="8"/>
  <c r="H29" i="8"/>
  <c r="C41" i="9"/>
  <c r="B41" i="9"/>
  <c r="D41" i="9" s="1"/>
  <c r="D52" i="9"/>
  <c r="D51" i="9"/>
  <c r="D50" i="9"/>
  <c r="D49" i="9"/>
  <c r="D48" i="9"/>
  <c r="D47" i="9"/>
  <c r="D46" i="9"/>
  <c r="D45" i="9"/>
  <c r="D44" i="9"/>
  <c r="D43" i="9"/>
  <c r="C53" i="9"/>
  <c r="Y16" i="8" l="1"/>
  <c r="Z16" i="8" s="1"/>
  <c r="K16" i="8"/>
  <c r="L16" i="8" s="1"/>
  <c r="M16" i="8"/>
  <c r="N16" i="8" s="1"/>
  <c r="U16" i="8"/>
  <c r="V16" i="8" s="1"/>
  <c r="G16" i="8"/>
  <c r="H16" i="8" s="1"/>
  <c r="O16" i="8"/>
  <c r="P16" i="8" s="1"/>
  <c r="W16" i="8"/>
  <c r="X16" i="8" s="1"/>
  <c r="J16" i="8"/>
  <c r="Q16" i="8"/>
  <c r="R16" i="8" s="1"/>
  <c r="H41" i="8"/>
  <c r="D25" i="8"/>
  <c r="O25" i="8" s="1"/>
  <c r="B46" i="8" s="1"/>
  <c r="D42" i="9"/>
  <c r="D53" i="9"/>
  <c r="B51" i="8" s="1"/>
  <c r="B53" i="9"/>
  <c r="C36" i="9" l="1"/>
  <c r="B36" i="9"/>
  <c r="C35" i="9" l="1"/>
  <c r="B35" i="9"/>
  <c r="C34" i="9" l="1"/>
  <c r="B34" i="9"/>
  <c r="C33" i="9" l="1"/>
  <c r="B33" i="9"/>
  <c r="C32" i="9"/>
  <c r="B32" i="9"/>
  <c r="C31" i="9" l="1"/>
  <c r="B31" i="9"/>
  <c r="C30" i="9" l="1"/>
  <c r="B30" i="9"/>
  <c r="C26" i="9"/>
  <c r="B26" i="9"/>
  <c r="G30" i="8" l="1"/>
  <c r="D24" i="8" s="1"/>
  <c r="G31" i="8"/>
  <c r="E24" i="8" s="1"/>
  <c r="G32" i="8"/>
  <c r="F24" i="8" s="1"/>
  <c r="G33" i="8"/>
  <c r="G24" i="8" s="1"/>
  <c r="G34" i="8"/>
  <c r="H24" i="8" s="1"/>
  <c r="G35" i="8"/>
  <c r="I24" i="8" s="1"/>
  <c r="G36" i="8"/>
  <c r="J24" i="8" s="1"/>
  <c r="G37" i="8"/>
  <c r="K24" i="8" s="1"/>
  <c r="G38" i="8"/>
  <c r="L24" i="8" s="1"/>
  <c r="G39" i="8"/>
  <c r="M24" i="8" s="1"/>
  <c r="G40" i="8"/>
  <c r="N24" i="8" s="1"/>
  <c r="G29" i="8"/>
  <c r="C37" i="9"/>
  <c r="B37" i="9"/>
  <c r="D36" i="9"/>
  <c r="D35" i="9"/>
  <c r="D34" i="9"/>
  <c r="D33" i="9"/>
  <c r="D32" i="9"/>
  <c r="D31" i="9"/>
  <c r="D30" i="9"/>
  <c r="D29" i="9"/>
  <c r="D28" i="9"/>
  <c r="D27" i="9"/>
  <c r="D26" i="9"/>
  <c r="D25" i="9"/>
  <c r="B21" i="9"/>
  <c r="D37" i="9" l="1"/>
  <c r="G41" i="8"/>
  <c r="C24" i="8"/>
  <c r="F30" i="8"/>
  <c r="D23" i="8" s="1"/>
  <c r="F31" i="8"/>
  <c r="E23" i="8" s="1"/>
  <c r="F32" i="8"/>
  <c r="F23" i="8" s="1"/>
  <c r="F33" i="8"/>
  <c r="F34" i="8"/>
  <c r="H23" i="8" s="1"/>
  <c r="F35" i="8"/>
  <c r="I23" i="8" s="1"/>
  <c r="F36" i="8"/>
  <c r="J23" i="8" s="1"/>
  <c r="F37" i="8"/>
  <c r="K23" i="8" s="1"/>
  <c r="F38" i="8"/>
  <c r="L23" i="8" s="1"/>
  <c r="F39" i="8"/>
  <c r="M23" i="8" s="1"/>
  <c r="F40" i="8"/>
  <c r="N23" i="8" s="1"/>
  <c r="F29" i="8"/>
  <c r="C23" i="8" s="1"/>
  <c r="C21" i="9"/>
  <c r="D10" i="9"/>
  <c r="D11" i="9"/>
  <c r="D12" i="9"/>
  <c r="D13" i="9"/>
  <c r="D14" i="9"/>
  <c r="D15" i="9"/>
  <c r="D16" i="9"/>
  <c r="D17" i="9"/>
  <c r="D18" i="9"/>
  <c r="D19" i="9"/>
  <c r="D20" i="9"/>
  <c r="D9" i="9"/>
  <c r="O24" i="8" l="1"/>
  <c r="I15" i="8"/>
  <c r="J15" i="8" s="1"/>
  <c r="F15" i="8"/>
  <c r="G15" i="8"/>
  <c r="H15" i="8" s="1"/>
  <c r="F41" i="8"/>
  <c r="G23" i="8"/>
  <c r="O23" i="8" s="1"/>
  <c r="D21" i="9"/>
  <c r="Y15" i="8" l="1"/>
  <c r="Z15" i="8" s="1"/>
  <c r="Q15" i="8"/>
  <c r="R15" i="8" s="1"/>
  <c r="K15" i="8"/>
  <c r="L15" i="8" s="1"/>
  <c r="S15" i="8"/>
  <c r="T15" i="8" s="1"/>
  <c r="M15" i="8"/>
  <c r="N15" i="8" s="1"/>
  <c r="U15" i="8"/>
  <c r="V15" i="8" s="1"/>
  <c r="O15" i="8"/>
  <c r="P15" i="8" s="1"/>
  <c r="W15" i="8"/>
  <c r="X15" i="8" s="1"/>
  <c r="B53" i="5"/>
  <c r="C52" i="5"/>
  <c r="C51" i="5"/>
  <c r="C50" i="5"/>
  <c r="C49" i="5"/>
  <c r="C48" i="5"/>
  <c r="C47" i="5"/>
  <c r="C46" i="5"/>
  <c r="C45" i="5"/>
  <c r="C44" i="5"/>
  <c r="C43" i="5"/>
  <c r="C42" i="5"/>
  <c r="C41" i="5"/>
  <c r="N22" i="8" l="1"/>
  <c r="E40" i="8"/>
  <c r="E39" i="8"/>
  <c r="M22" i="8"/>
  <c r="E38" i="8"/>
  <c r="L22" i="8"/>
  <c r="E37" i="8"/>
  <c r="K22" i="8"/>
  <c r="E36" i="8"/>
  <c r="J22" i="8"/>
  <c r="I22" i="8"/>
  <c r="E35" i="8"/>
  <c r="H22" i="8"/>
  <c r="E34" i="8"/>
  <c r="E33" i="8"/>
  <c r="G22" i="8"/>
  <c r="E32" i="8"/>
  <c r="F22" i="8"/>
  <c r="E31" i="8"/>
  <c r="E22" i="8"/>
  <c r="D22" i="8"/>
  <c r="E30" i="8"/>
  <c r="E29" i="8"/>
  <c r="C22" i="8"/>
  <c r="C14" i="8" s="1"/>
  <c r="C53" i="5"/>
  <c r="N20" i="8"/>
  <c r="M20" i="8"/>
  <c r="L20" i="8"/>
  <c r="K20" i="8"/>
  <c r="J20" i="8"/>
  <c r="I20" i="8"/>
  <c r="H20" i="8"/>
  <c r="G20" i="8"/>
  <c r="F20" i="8"/>
  <c r="E20" i="8"/>
  <c r="D20" i="8"/>
  <c r="C20" i="8"/>
  <c r="D14" i="8" l="1"/>
  <c r="Y14" i="8"/>
  <c r="Z14" i="8" s="1"/>
  <c r="K14" i="8"/>
  <c r="L14" i="8" s="1"/>
  <c r="E14" i="8"/>
  <c r="F14" i="8" s="1"/>
  <c r="M14" i="8"/>
  <c r="N14" i="8" s="1"/>
  <c r="U14" i="8"/>
  <c r="V14" i="8" s="1"/>
  <c r="O14" i="8"/>
  <c r="P14" i="8" s="1"/>
  <c r="W14" i="8"/>
  <c r="X14" i="8" s="1"/>
  <c r="G14" i="8"/>
  <c r="H14" i="8" s="1"/>
  <c r="S14" i="8"/>
  <c r="T14" i="8" s="1"/>
  <c r="I14" i="8"/>
  <c r="J14" i="8" s="1"/>
  <c r="Q14" i="8"/>
  <c r="R14" i="8" s="1"/>
  <c r="E41" i="8"/>
  <c r="O22" i="8"/>
  <c r="C9" i="5"/>
  <c r="O20" i="8" l="1"/>
  <c r="N21" i="8" l="1"/>
  <c r="M21" i="8"/>
  <c r="L21" i="8"/>
  <c r="K21" i="8"/>
  <c r="J21" i="8"/>
  <c r="I21" i="8"/>
  <c r="H21" i="8"/>
  <c r="G21" i="8"/>
  <c r="F21" i="8"/>
  <c r="E21" i="8"/>
  <c r="D21" i="8"/>
  <c r="C21" i="8"/>
  <c r="D40" i="8"/>
  <c r="D39" i="8"/>
  <c r="D38" i="8"/>
  <c r="D37" i="8"/>
  <c r="D36" i="8"/>
  <c r="D35" i="8"/>
  <c r="D34" i="8"/>
  <c r="D33" i="8"/>
  <c r="D32" i="8"/>
  <c r="D29" i="8"/>
  <c r="D31" i="8"/>
  <c r="D30" i="8"/>
  <c r="B37" i="5"/>
  <c r="C36" i="5"/>
  <c r="C35" i="5"/>
  <c r="C34" i="5"/>
  <c r="C33" i="5"/>
  <c r="C32" i="5"/>
  <c r="C31" i="5"/>
  <c r="C30" i="5"/>
  <c r="C29" i="5"/>
  <c r="C28" i="5"/>
  <c r="C27" i="5"/>
  <c r="C26" i="5"/>
  <c r="C25" i="5"/>
  <c r="K13" i="8" l="1"/>
  <c r="L13" i="8" s="1"/>
  <c r="C12" i="8"/>
  <c r="C13" i="8"/>
  <c r="D13" i="8" s="1"/>
  <c r="Y13" i="8"/>
  <c r="Z13" i="8" s="1"/>
  <c r="O13" i="8"/>
  <c r="P13" i="8" s="1"/>
  <c r="G13" i="8"/>
  <c r="H13" i="8" s="1"/>
  <c r="U13" i="8"/>
  <c r="V13" i="8" s="1"/>
  <c r="I13" i="8"/>
  <c r="J13" i="8" s="1"/>
  <c r="M13" i="8"/>
  <c r="N13" i="8" s="1"/>
  <c r="E13" i="8"/>
  <c r="S13" i="8"/>
  <c r="T13" i="8" s="1"/>
  <c r="W13" i="8"/>
  <c r="X13" i="8" s="1"/>
  <c r="Q13" i="8"/>
  <c r="R13" i="8" s="1"/>
  <c r="F13" i="8"/>
  <c r="D41" i="8"/>
  <c r="M12" i="8"/>
  <c r="N12" i="8" s="1"/>
  <c r="O21" i="8"/>
  <c r="C37" i="5"/>
  <c r="C40" i="8" l="1"/>
  <c r="C39" i="8"/>
  <c r="C38" i="8"/>
  <c r="C37" i="8"/>
  <c r="C36" i="8"/>
  <c r="C35" i="8"/>
  <c r="C34" i="8"/>
  <c r="C33" i="8"/>
  <c r="C32" i="8"/>
  <c r="C31" i="8"/>
  <c r="C29" i="8"/>
  <c r="D12" i="8" l="1"/>
  <c r="C11" i="5" l="1"/>
  <c r="C12" i="5"/>
  <c r="C13" i="5"/>
  <c r="C14" i="5"/>
  <c r="C15" i="5"/>
  <c r="C16" i="5"/>
  <c r="C17" i="5"/>
  <c r="C18" i="5"/>
  <c r="C19" i="5"/>
  <c r="C20" i="5"/>
  <c r="B21" i="5"/>
  <c r="C30" i="8" l="1"/>
  <c r="C41" i="8" s="1"/>
  <c r="C10" i="5"/>
  <c r="C21" i="5" s="1"/>
  <c r="G12" i="8" l="1"/>
  <c r="H12" i="8" s="1"/>
  <c r="Q12" i="8"/>
  <c r="R12" i="8" s="1"/>
  <c r="I12" i="8"/>
  <c r="J12" i="8" s="1"/>
  <c r="U12" i="8"/>
  <c r="V12" i="8" s="1"/>
  <c r="O12" i="8"/>
  <c r="P12" i="8" s="1"/>
  <c r="E12" i="8"/>
  <c r="F12" i="8" s="1"/>
  <c r="Y12" i="8"/>
  <c r="Z12" i="8" s="1"/>
  <c r="S12" i="8"/>
  <c r="T12" i="8" s="1"/>
  <c r="K12" i="8"/>
  <c r="L12" i="8" s="1"/>
  <c r="W12" i="8"/>
  <c r="X12" i="8" s="1"/>
</calcChain>
</file>

<file path=xl/sharedStrings.xml><?xml version="1.0" encoding="utf-8"?>
<sst xmlns="http://schemas.openxmlformats.org/spreadsheetml/2006/main" count="201" uniqueCount="63">
  <si>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</si>
  <si>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</si>
  <si>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</si>
  <si>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</si>
  <si>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</si>
  <si>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</si>
  <si>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</si>
  <si>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</si>
  <si>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</si>
  <si>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</si>
  <si>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</si>
  <si>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</si>
  <si>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Walton County Clerk of Courts &amp; County Comptroller</t>
  </si>
  <si>
    <t>FY TOTAL</t>
  </si>
  <si>
    <t xml:space="preserve"> $ Change</t>
  </si>
  <si>
    <t xml:space="preserve"> % Change</t>
  </si>
  <si>
    <t>Oct @ 2%</t>
  </si>
  <si>
    <t>Oct-Nov @ 2%</t>
  </si>
  <si>
    <t>Oct-Dec @ 2%</t>
  </si>
  <si>
    <t>Oct-Jan @ 2%</t>
  </si>
  <si>
    <t>Oct-Feb @ 2%</t>
  </si>
  <si>
    <t>Oct-Mar @ 2%</t>
  </si>
  <si>
    <t>Oct-Apr @ 2%</t>
  </si>
  <si>
    <t>Oct-May @ 2%</t>
  </si>
  <si>
    <t>Oct-Jun @ 2%</t>
  </si>
  <si>
    <t>Oct-Jul @ 2%</t>
  </si>
  <si>
    <t>Oct-Aug @ 2%</t>
  </si>
  <si>
    <t>Oct-Sept @ 2%</t>
  </si>
  <si>
    <t>FYTD Cumulative Year-Over-Year Comparisons by Month at 2% TDT</t>
  </si>
  <si>
    <t xml:space="preserve">(as of </t>
  </si>
  <si>
    <t>FYTD
@ 2%</t>
  </si>
  <si>
    <t>FY21 @ 2%</t>
  </si>
  <si>
    <t>FY21 TOTAL</t>
  </si>
  <si>
    <t>NORTH WALTON FYTD CUMULATIVE YOY CHANGE @ 2%</t>
  </si>
  <si>
    <t>North Walton Tourist Development Tax</t>
  </si>
  <si>
    <t>NORTH WALTON TDT COLLECTIONS @ 2% FY21-PRESENT</t>
  </si>
  <si>
    <t>Totals per NW Collection History Report Data (FY21-Present):</t>
  </si>
  <si>
    <t>FY22 @ 2%</t>
  </si>
  <si>
    <r>
      <rPr>
        <i/>
        <u/>
        <sz val="11"/>
        <rFont val="Calisto MT"/>
        <family val="1"/>
      </rPr>
      <t>NOTE</t>
    </r>
    <r>
      <rPr>
        <i/>
        <sz val="11"/>
        <rFont val="Calisto MT"/>
        <family val="1"/>
      </rPr>
      <t xml:space="preserve">: The North Walton 2% TDT went into effect as of March 1, 2021.  </t>
    </r>
  </si>
  <si>
    <t>Collection History - FY2021 to Present</t>
  </si>
  <si>
    <t>NW TDT @ 2% FY21-PRESENT</t>
  </si>
  <si>
    <t>FY22 TOTAL</t>
  </si>
  <si>
    <t>Introductory 2%</t>
  </si>
  <si>
    <t>Below is a cumulative fiscal-year-to-date year-over-year comparison per month beginning in FY 2022 given the 3/1/21 effective date of the North Walton 2% TDT using the base 2% rate to eliminate the issue of any future tax rate changes. We have taken the available monthly collections per the Collection History Report from 2021-present, summed a year-to-date total for each period, &amp; compared those to the PY FYTD to get $ &amp; % change.  In the 1st table, you will see some greyed out fields which indicate that reporting has not yet been completed for those future periods.</t>
  </si>
  <si>
    <t>FY23 @ 2%</t>
  </si>
  <si>
    <t>FY23 TOTAL</t>
  </si>
  <si>
    <r>
      <rPr>
        <b/>
        <i/>
        <sz val="10"/>
        <color rgb="FFFF0000"/>
        <rFont val="Calisto MT"/>
        <family val="1"/>
      </rPr>
      <t xml:space="preserve">NOTE: </t>
    </r>
    <r>
      <rPr>
        <i/>
        <sz val="10"/>
        <rFont val="Calisto MT"/>
        <family val="1"/>
      </rPr>
      <t xml:space="preserve">As the NW TDT went into effect on 3/1/21, only the last 7 months of FY21 contained NW TDT revenue whereas"FY22 to date" figures represent a full fiscal year of collections.  </t>
    </r>
  </si>
  <si>
    <t>Increase from 2% to 3% effective October 1, 2023.</t>
  </si>
  <si>
    <t>FY24 @ 2%</t>
  </si>
  <si>
    <t>FY24 TOTAL</t>
  </si>
  <si>
    <t>FY25 @ 2%</t>
  </si>
  <si>
    <t>FY25 @ 1%</t>
  </si>
  <si>
    <t>FY24 @ 1%</t>
  </si>
  <si>
    <t>Collection History - FY2024 to Present</t>
  </si>
  <si>
    <t>FY25 TOTAL</t>
  </si>
  <si>
    <t>= TOTAL NW TDT COLLECTIONS FY21-FY25</t>
  </si>
  <si>
    <t>FY26 @ 2%</t>
  </si>
  <si>
    <t>FY26 @ 1%</t>
  </si>
  <si>
    <t>FY26 TOTAL</t>
  </si>
  <si>
    <r>
      <t>= Total NW TDT</t>
    </r>
    <r>
      <rPr>
        <b/>
        <sz val="10"/>
        <color rgb="FFFF0000"/>
        <rFont val="Calisto MT"/>
        <family val="1"/>
      </rPr>
      <t xml:space="preserve"> @2% </t>
    </r>
    <r>
      <rPr>
        <b/>
        <sz val="10"/>
        <rFont val="Calisto MT"/>
        <family val="1"/>
      </rPr>
      <t>FY21-FY25</t>
    </r>
  </si>
  <si>
    <r>
      <t xml:space="preserve">= Total NW TDT </t>
    </r>
    <r>
      <rPr>
        <b/>
        <sz val="10"/>
        <color rgb="FFFF0000"/>
        <rFont val="Calisto MT"/>
        <family val="1"/>
      </rPr>
      <t>@ 2%</t>
    </r>
    <r>
      <rPr>
        <b/>
        <sz val="10"/>
        <rFont val="Calisto MT"/>
        <family val="1"/>
      </rPr>
      <t xml:space="preserve"> FY21-FY26 to date</t>
    </r>
  </si>
  <si>
    <t>= TOTAL NW TDT COLLECTIONS FY21-FY26 to date</t>
  </si>
  <si>
    <t>4/15/2026)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</si>
</sst>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%;\ \(0.00%\)"/>
    <numFmt numFmtId="166" formatCode="[$$-409]#,##0.00_);\([$$-409]#,##0.00\)"/>
    <numFmt numFmtId="167" formatCode="&quot;$&quot;#,##0.00"/>
  </numFmts>
  <fonts count="2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Calisto MT"/>
      <family val="1"/>
    </font>
    <font>
      <sz val="8"/>
      <name val="Arial"/>
      <family val="2"/>
    </font>
    <font>
      <b/>
      <sz val="10"/>
      <name val="Calisto MT"/>
      <family val="1"/>
    </font>
    <font>
      <b/>
      <sz val="11"/>
      <name val="Calisto MT"/>
      <family val="1"/>
    </font>
    <font>
      <sz val="11"/>
      <name val="Calisto MT"/>
      <family val="1"/>
    </font>
    <font>
      <b/>
      <i/>
      <sz val="11"/>
      <name val="Calisto MT"/>
      <family val="1"/>
    </font>
    <font>
      <i/>
      <sz val="11"/>
      <name val="Calisto MT"/>
      <family val="1"/>
    </font>
    <font>
      <b/>
      <i/>
      <sz val="10"/>
      <name val="Calisto MT"/>
      <family val="1"/>
    </font>
    <font>
      <i/>
      <sz val="10"/>
      <name val="Calisto MT"/>
      <family val="1"/>
    </font>
    <font>
      <b/>
      <u/>
      <sz val="10"/>
      <name val="Calisto MT"/>
      <family val="1"/>
    </font>
    <font>
      <sz val="7.8"/>
      <name val="Calisto MT"/>
      <family val="1"/>
    </font>
    <font>
      <b/>
      <sz val="10"/>
      <color rgb="FFFF0000"/>
      <name val="Calisto MT"/>
      <family val="1"/>
    </font>
    <font>
      <i/>
      <u/>
      <sz val="11"/>
      <name val="Calisto MT"/>
      <family val="1"/>
    </font>
    <font>
      <b/>
      <i/>
      <sz val="10"/>
      <color rgb="FFFF0000"/>
      <name val="Calisto MT"/>
      <family val="1"/>
    </font>
    <font>
      <b/>
      <sz val="10"/>
      <color rgb="FF002060"/>
      <name val="Calisto MT"/>
      <family val="1"/>
    </font>
    <font>
      <sz val="10"/>
      <color rgb="FF002060"/>
      <name val="Calisto MT"/>
      <family val="1"/>
    </font>
    <font>
      <sz val="10"/>
      <color theme="0" tint="-0.499984740745262"/>
      <name val="Calisto MT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6" fillId="0" borderId="0" xfId="0" applyFont="1"/>
    <xf numFmtId="0" fontId="8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7" xfId="0" applyFont="1" applyBorder="1"/>
    <xf numFmtId="0" fontId="9" fillId="0" borderId="0" xfId="0" applyFont="1"/>
    <xf numFmtId="39" fontId="10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9" fontId="12" fillId="0" borderId="0" xfId="0" applyNumberFormat="1" applyFont="1"/>
    <xf numFmtId="164" fontId="12" fillId="0" borderId="0" xfId="0" applyNumberFormat="1" applyFont="1" applyAlignment="1">
      <alignment horizontal="right"/>
    </xf>
    <xf numFmtId="9" fontId="12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44" fontId="10" fillId="0" borderId="0" xfId="9" applyFont="1"/>
    <xf numFmtId="44" fontId="10" fillId="0" borderId="0" xfId="7" applyFont="1" applyFill="1" applyAlignment="1">
      <alignment horizontal="right"/>
    </xf>
    <xf numFmtId="44" fontId="10" fillId="0" borderId="0" xfId="0" applyNumberFormat="1" applyFont="1"/>
    <xf numFmtId="10" fontId="10" fillId="0" borderId="0" xfId="20" applyNumberFormat="1" applyFont="1" applyAlignment="1">
      <alignment horizontal="left" indent="5"/>
    </xf>
    <xf numFmtId="7" fontId="9" fillId="0" borderId="0" xfId="0" applyNumberFormat="1" applyFont="1" applyAlignment="1">
      <alignment horizontal="right"/>
    </xf>
    <xf numFmtId="44" fontId="10" fillId="0" borderId="1" xfId="7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13" fillId="0" borderId="0" xfId="0" applyFont="1"/>
    <xf numFmtId="9" fontId="6" fillId="0" borderId="0" xfId="20" applyFont="1" applyAlignment="1">
      <alignment horizontal="center"/>
    </xf>
    <xf numFmtId="9" fontId="6" fillId="0" borderId="0" xfId="20" applyFont="1"/>
    <xf numFmtId="0" fontId="8" fillId="0" borderId="7" xfId="0" applyFont="1" applyBorder="1" applyAlignment="1">
      <alignment horizontal="right"/>
    </xf>
    <xf numFmtId="7" fontId="8" fillId="0" borderId="7" xfId="0" applyNumberFormat="1" applyFont="1" applyBorder="1" applyAlignment="1">
      <alignment horizontal="center"/>
    </xf>
    <xf numFmtId="44" fontId="6" fillId="0" borderId="3" xfId="0" applyNumberFormat="1" applyFont="1" applyBorder="1"/>
    <xf numFmtId="0" fontId="8" fillId="0" borderId="3" xfId="0" applyFont="1" applyBorder="1" applyAlignment="1">
      <alignment horizontal="right"/>
    </xf>
    <xf numFmtId="7" fontId="8" fillId="0" borderId="3" xfId="0" applyNumberFormat="1" applyFont="1" applyBorder="1" applyAlignment="1">
      <alignment horizontal="right"/>
    </xf>
    <xf numFmtId="49" fontId="8" fillId="2" borderId="7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left"/>
    </xf>
    <xf numFmtId="39" fontId="9" fillId="0" borderId="2" xfId="0" applyNumberFormat="1" applyFont="1" applyBorder="1" applyAlignment="1">
      <alignment horizontal="center" wrapText="1"/>
    </xf>
    <xf numFmtId="165" fontId="6" fillId="6" borderId="3" xfId="20" applyNumberFormat="1" applyFont="1" applyFill="1" applyBorder="1" applyAlignment="1">
      <alignment horizontal="right"/>
    </xf>
    <xf numFmtId="0" fontId="12" fillId="0" borderId="0" xfId="0" applyFont="1" applyAlignment="1">
      <alignment wrapText="1"/>
    </xf>
    <xf numFmtId="0" fontId="12" fillId="0" borderId="0" xfId="0" applyFont="1"/>
    <xf numFmtId="44" fontId="10" fillId="0" borderId="0" xfId="7" applyFont="1"/>
    <xf numFmtId="44" fontId="6" fillId="6" borderId="3" xfId="0" applyNumberFormat="1" applyFont="1" applyFill="1" applyBorder="1"/>
    <xf numFmtId="165" fontId="6" fillId="3" borderId="3" xfId="20" applyNumberFormat="1" applyFont="1" applyFill="1" applyBorder="1" applyAlignment="1">
      <alignment horizontal="right"/>
    </xf>
    <xf numFmtId="0" fontId="20" fillId="0" borderId="0" xfId="0" quotePrefix="1" applyFont="1"/>
    <xf numFmtId="0" fontId="21" fillId="0" borderId="0" xfId="0" applyFont="1"/>
    <xf numFmtId="49" fontId="21" fillId="0" borderId="0" xfId="0" applyNumberFormat="1" applyFont="1" applyAlignment="1">
      <alignment horizontal="right"/>
    </xf>
    <xf numFmtId="0" fontId="8" fillId="0" borderId="10" xfId="0" applyFont="1" applyBorder="1" applyAlignment="1">
      <alignment horizontal="center"/>
    </xf>
    <xf numFmtId="165" fontId="6" fillId="3" borderId="10" xfId="20" applyNumberFormat="1" applyFont="1" applyFill="1" applyBorder="1" applyAlignment="1">
      <alignment horizontal="right"/>
    </xf>
    <xf numFmtId="44" fontId="8" fillId="0" borderId="3" xfId="7" applyFont="1" applyBorder="1"/>
    <xf numFmtId="44" fontId="8" fillId="0" borderId="8" xfId="7" applyFont="1" applyBorder="1"/>
    <xf numFmtId="44" fontId="6" fillId="6" borderId="3" xfId="7" applyFont="1" applyFill="1" applyBorder="1" applyAlignment="1">
      <alignment horizontal="right"/>
    </xf>
    <xf numFmtId="44" fontId="6" fillId="2" borderId="3" xfId="7" applyFont="1" applyFill="1" applyBorder="1" applyAlignment="1">
      <alignment horizontal="right"/>
    </xf>
    <xf numFmtId="44" fontId="6" fillId="2" borderId="10" xfId="7" applyFont="1" applyFill="1" applyBorder="1" applyAlignment="1">
      <alignment horizontal="right"/>
    </xf>
    <xf numFmtId="44" fontId="22" fillId="2" borderId="3" xfId="7" applyFont="1" applyFill="1" applyBorder="1" applyAlignment="1">
      <alignment horizontal="right"/>
    </xf>
    <xf numFmtId="165" fontId="22" fillId="3" borderId="3" xfId="20" applyNumberFormat="1" applyFont="1" applyFill="1" applyBorder="1" applyAlignment="1">
      <alignment horizontal="right"/>
    </xf>
    <xf numFmtId="0" fontId="14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14" fillId="0" borderId="0" xfId="0" applyFont="1" applyAlignment="1">
      <alignment horizontal="left" wrapText="1"/>
    </xf>
    <xf numFmtId="166" fontId="20" fillId="0" borderId="0" xfId="7" applyNumberFormat="1" applyFont="1" applyAlignment="1">
      <alignment horizontal="right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167" fontId="8" fillId="0" borderId="0" xfId="21" applyNumberFormat="1" applyFont="1" applyBorder="1" applyAlignment="1">
      <alignment horizontal="right"/>
    </xf>
    <xf numFmtId="0" fontId="8" fillId="0" borderId="0" xfId="0" quotePrefix="1" applyFont="1" applyAlignment="1">
      <alignment horizontal="left"/>
    </xf>
    <xf numFmtId="0" fontId="16" fillId="0" borderId="9" xfId="0" applyFont="1" applyBorder="1" applyAlignment="1">
      <alignment horizontal="center" textRotation="45" wrapText="1"/>
    </xf>
    <xf numFmtId="0" fontId="16" fillId="0" borderId="7" xfId="0" applyFont="1" applyBorder="1" applyAlignment="1">
      <alignment horizontal="center" textRotation="45" wrapText="1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</cellXfs>
  <cellStyles count="22">
    <cellStyle name="Comma" xfId="21" builtinId="3"/>
    <cellStyle name="Comma 2" xfId="1" xr:uid="{00000000-0005-0000-0000-000000000000}"/>
    <cellStyle name="Comma 2 2" xfId="2" xr:uid="{00000000-0005-0000-0000-000001000000}"/>
    <cellStyle name="Comma 2 3" xfId="3" xr:uid="{00000000-0005-0000-0000-000002000000}"/>
    <cellStyle name="Comma 2 3 2" xfId="4" xr:uid="{00000000-0005-0000-0000-000003000000}"/>
    <cellStyle name="Comma 3" xfId="5" xr:uid="{00000000-0005-0000-0000-000004000000}"/>
    <cellStyle name="Comma 3 2" xfId="6" xr:uid="{00000000-0005-0000-0000-000005000000}"/>
    <cellStyle name="Currency" xfId="7" builtinId="4"/>
    <cellStyle name="Currency 2" xfId="8" xr:uid="{00000000-0005-0000-0000-000007000000}"/>
    <cellStyle name="Currency 2 2" xfId="9" xr:uid="{00000000-0005-0000-0000-000008000000}"/>
    <cellStyle name="Currency 3" xfId="10" xr:uid="{00000000-0005-0000-0000-000009000000}"/>
    <cellStyle name="Currency 4" xfId="11" xr:uid="{00000000-0005-0000-0000-00000A000000}"/>
    <cellStyle name="Currency 4 2" xfId="12" xr:uid="{00000000-0005-0000-0000-00000B000000}"/>
    <cellStyle name="Currency 5" xfId="13" xr:uid="{00000000-0005-0000-0000-00000C000000}"/>
    <cellStyle name="Normal" xfId="0" builtinId="0"/>
    <cellStyle name="Normal 2" xfId="14" xr:uid="{00000000-0005-0000-0000-00000E000000}"/>
    <cellStyle name="Percent" xfId="20" builtinId="5"/>
    <cellStyle name="Percent 2" xfId="15" xr:uid="{00000000-0005-0000-0000-00000F000000}"/>
    <cellStyle name="Percent 2 2" xfId="16" xr:uid="{00000000-0005-0000-0000-000010000000}"/>
    <cellStyle name="Percent 3" xfId="17" xr:uid="{00000000-0005-0000-0000-000011000000}"/>
    <cellStyle name="Percent 3 2" xfId="18" xr:uid="{00000000-0005-0000-0000-000012000000}"/>
    <cellStyle name="Percent 4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65838-B71A-4621-A6CE-6BF31A048A90}">
  <sheetPr>
    <tabColor theme="1"/>
  </sheetPr>
  <dimension ref="A1:AD54"/>
  <sheetViews>
    <sheetView zoomScaleNormal="100" workbookViewId="0">
      <selection activeCell="E52" sqref="E52"/>
    </sheetView>
  </sheetViews>
  <sheetFormatPr defaultColWidth="9.140625" defaultRowHeight="12.75" x14ac:dyDescent="0.2"/>
  <cols>
    <col min="1" max="1" width="1.42578125" style="1" customWidth="1"/>
    <col min="2" max="2" width="10.7109375" style="1" customWidth="1"/>
    <col min="3" max="3" width="14.42578125" style="1" bestFit="1" customWidth="1"/>
    <col min="4" max="4" width="12.28515625" style="1" bestFit="1" customWidth="1"/>
    <col min="5" max="5" width="13.5703125" style="1" bestFit="1" customWidth="1"/>
    <col min="6" max="6" width="12.28515625" style="1" bestFit="1" customWidth="1"/>
    <col min="7" max="7" width="13.5703125" style="1" bestFit="1" customWidth="1"/>
    <col min="8" max="14" width="13.85546875" style="1" bestFit="1" customWidth="1"/>
    <col min="15" max="15" width="13.5703125" style="1" bestFit="1" customWidth="1"/>
    <col min="16" max="16" width="12.85546875" style="1" bestFit="1" customWidth="1"/>
    <col min="17" max="17" width="13.5703125" style="1" bestFit="1" customWidth="1"/>
    <col min="18" max="18" width="12.85546875" style="1" bestFit="1" customWidth="1"/>
    <col min="19" max="22" width="13.85546875" style="1" bestFit="1" customWidth="1"/>
    <col min="23" max="23" width="14.5703125" style="1" bestFit="1" customWidth="1"/>
    <col min="24" max="24" width="13.85546875" style="1" bestFit="1" customWidth="1"/>
    <col min="25" max="25" width="14.5703125" style="1" bestFit="1" customWidth="1"/>
    <col min="26" max="26" width="9.7109375" style="1" bestFit="1" customWidth="1"/>
    <col min="27" max="16384" width="9.140625" style="1"/>
  </cols>
  <sheetData>
    <row r="1" spans="1:30" ht="13.5" x14ac:dyDescent="0.25">
      <c r="A1" s="21" t="s">
        <v>12</v>
      </c>
    </row>
    <row r="2" spans="1:30" ht="13.5" x14ac:dyDescent="0.25">
      <c r="A2" s="21" t="s">
        <v>34</v>
      </c>
    </row>
    <row r="3" spans="1:30" x14ac:dyDescent="0.2">
      <c r="A3" s="22" t="s">
        <v>28</v>
      </c>
    </row>
    <row r="4" spans="1:30" x14ac:dyDescent="0.2">
      <c r="A4" s="22"/>
    </row>
    <row r="5" spans="1:30" ht="12.75" customHeight="1" x14ac:dyDescent="0.2">
      <c r="A5" s="58" t="s">
        <v>43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30" ht="12.75" customHeight="1" x14ac:dyDescent="0.2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30" ht="12.75" customHeight="1" x14ac:dyDescent="0.2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30" ht="13.5" thickBot="1" x14ac:dyDescent="0.25">
      <c r="A8" s="22"/>
    </row>
    <row r="9" spans="1:30" ht="14.25" thickBot="1" x14ac:dyDescent="0.3">
      <c r="B9" s="60" t="s">
        <v>33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2"/>
    </row>
    <row r="10" spans="1:30" ht="13.5" x14ac:dyDescent="0.25">
      <c r="B10" s="65" t="s">
        <v>30</v>
      </c>
      <c r="C10" s="55" t="s">
        <v>16</v>
      </c>
      <c r="D10" s="55"/>
      <c r="E10" s="55" t="s">
        <v>17</v>
      </c>
      <c r="F10" s="55"/>
      <c r="G10" s="55" t="s">
        <v>18</v>
      </c>
      <c r="H10" s="55"/>
      <c r="I10" s="55" t="s">
        <v>19</v>
      </c>
      <c r="J10" s="55"/>
      <c r="K10" s="55" t="s">
        <v>20</v>
      </c>
      <c r="L10" s="55"/>
      <c r="M10" s="55" t="s">
        <v>21</v>
      </c>
      <c r="N10" s="55"/>
      <c r="O10" s="55" t="s">
        <v>22</v>
      </c>
      <c r="P10" s="55"/>
      <c r="Q10" s="55" t="s">
        <v>23</v>
      </c>
      <c r="R10" s="55"/>
      <c r="S10" s="55" t="s">
        <v>24</v>
      </c>
      <c r="T10" s="55"/>
      <c r="U10" s="55" t="s">
        <v>25</v>
      </c>
      <c r="V10" s="55"/>
      <c r="W10" s="55" t="s">
        <v>26</v>
      </c>
      <c r="X10" s="55"/>
      <c r="Y10" s="55" t="s">
        <v>27</v>
      </c>
      <c r="Z10" s="55"/>
    </row>
    <row r="11" spans="1:30" ht="13.5" x14ac:dyDescent="0.2">
      <c r="B11" s="66"/>
      <c r="C11" s="30" t="s">
        <v>14</v>
      </c>
      <c r="D11" s="31" t="s">
        <v>15</v>
      </c>
      <c r="E11" s="30" t="s">
        <v>14</v>
      </c>
      <c r="F11" s="31" t="s">
        <v>15</v>
      </c>
      <c r="G11" s="30" t="s">
        <v>14</v>
      </c>
      <c r="H11" s="31" t="s">
        <v>15</v>
      </c>
      <c r="I11" s="30" t="s">
        <v>14</v>
      </c>
      <c r="J11" s="31" t="s">
        <v>15</v>
      </c>
      <c r="K11" s="30" t="s">
        <v>14</v>
      </c>
      <c r="L11" s="31" t="s">
        <v>15</v>
      </c>
      <c r="M11" s="30" t="s">
        <v>14</v>
      </c>
      <c r="N11" s="31" t="s">
        <v>15</v>
      </c>
      <c r="O11" s="30" t="s">
        <v>14</v>
      </c>
      <c r="P11" s="31" t="s">
        <v>15</v>
      </c>
      <c r="Q11" s="30" t="s">
        <v>14</v>
      </c>
      <c r="R11" s="31" t="s">
        <v>15</v>
      </c>
      <c r="S11" s="30" t="s">
        <v>14</v>
      </c>
      <c r="T11" s="31" t="s">
        <v>15</v>
      </c>
      <c r="U11" s="30" t="s">
        <v>14</v>
      </c>
      <c r="V11" s="31" t="s">
        <v>15</v>
      </c>
      <c r="W11" s="30" t="s">
        <v>14</v>
      </c>
      <c r="X11" s="31" t="s">
        <v>15</v>
      </c>
      <c r="Y11" s="30" t="s">
        <v>14</v>
      </c>
      <c r="Z11" s="31" t="s">
        <v>15</v>
      </c>
      <c r="AA11" s="32"/>
      <c r="AB11" s="32"/>
      <c r="AC11" s="32"/>
      <c r="AD11" s="32"/>
    </row>
    <row r="12" spans="1:30" ht="13.5" x14ac:dyDescent="0.25">
      <c r="B12" s="2" t="s">
        <v>37</v>
      </c>
      <c r="C12" s="49">
        <f>C21-C20</f>
        <v>18275.259999999998</v>
      </c>
      <c r="D12" s="36" t="e">
        <f>C12/C20</f>
        <v>#DIV/0!</v>
      </c>
      <c r="E12" s="49">
        <f>(SUM(C21:D21))-(SUM(C20:D20))</f>
        <v>34585.18</v>
      </c>
      <c r="F12" s="36" t="e">
        <f>E12/(SUM(C20:D20))</f>
        <v>#DIV/0!</v>
      </c>
      <c r="G12" s="49">
        <f>(SUM(C21:E21))-(SUM(C20:E20))</f>
        <v>49402.09</v>
      </c>
      <c r="H12" s="36" t="e">
        <f>G12/(SUM(C20:E20))</f>
        <v>#DIV/0!</v>
      </c>
      <c r="I12" s="49">
        <f>(SUM(C21:F21))-(SUM(C20:F20))</f>
        <v>65704.959999999992</v>
      </c>
      <c r="J12" s="36" t="e">
        <f>I12/(SUM(C20:F20))</f>
        <v>#DIV/0!</v>
      </c>
      <c r="K12" s="49">
        <f>(SUM(C21:G21))-(SUM(C20:G20))</f>
        <v>85071.799999999988</v>
      </c>
      <c r="L12" s="36" t="e">
        <f>K12/(SUM(C20:G20))</f>
        <v>#DIV/0!</v>
      </c>
      <c r="M12" s="50">
        <f>(SUM(C21:H21))-(SUM(C20:H20))</f>
        <v>85767.469999999987</v>
      </c>
      <c r="N12" s="41">
        <f>M12/(SUM(C20:H20))</f>
        <v>4.0407426479352591</v>
      </c>
      <c r="O12" s="50">
        <f>(SUM(C21:I21))-(SUM(C20:I20))</f>
        <v>88525.19</v>
      </c>
      <c r="P12" s="41">
        <f>O12/(SUM(C20:I20))</f>
        <v>1.9650583300869156</v>
      </c>
      <c r="Q12" s="50">
        <f>(SUM(C21:J21))-(SUM(C20:J20))</f>
        <v>79774.87000000001</v>
      </c>
      <c r="R12" s="41">
        <f>Q12/(SUM(C20:J20))</f>
        <v>1.02839217856037</v>
      </c>
      <c r="S12" s="50">
        <f>(SUM(C21:K21))-(SUM(C20:K20))</f>
        <v>69590.820000000007</v>
      </c>
      <c r="T12" s="41">
        <f>S12/(SUM(C20:K20))</f>
        <v>0.58936233423691564</v>
      </c>
      <c r="U12" s="50">
        <f>(SUM(C21:L21))-(SUM(C20:L20))</f>
        <v>56785.010000000009</v>
      </c>
      <c r="V12" s="41">
        <f>U12/(SUM(C20:L20))</f>
        <v>0.34631055974107677</v>
      </c>
      <c r="W12" s="50">
        <f>(SUM(C21:M21))-(SUM(C20:M20))</f>
        <v>54165.299999999988</v>
      </c>
      <c r="X12" s="41">
        <f>W12/(SUM(C20:M20))</f>
        <v>0.28618816488912024</v>
      </c>
      <c r="Y12" s="50">
        <f>(SUM(C21:N21))-(SUM(C20:N20))</f>
        <v>50158.19</v>
      </c>
      <c r="Z12" s="41">
        <f>Y12/(SUM(C20:N20))</f>
        <v>0.23695365059970663</v>
      </c>
    </row>
    <row r="13" spans="1:30" ht="13.5" x14ac:dyDescent="0.25">
      <c r="B13" s="2" t="s">
        <v>44</v>
      </c>
      <c r="C13" s="50">
        <f>C22-C21</f>
        <v>97.25</v>
      </c>
      <c r="D13" s="41">
        <f>C13/C21</f>
        <v>5.3214017201396865E-3</v>
      </c>
      <c r="E13" s="50">
        <f>(SUM(C22:D22))-(SUM(C21:D21))</f>
        <v>5752.5299999999988</v>
      </c>
      <c r="F13" s="41">
        <f>E13/(SUM(C21:D21))</f>
        <v>0.16632933528175939</v>
      </c>
      <c r="G13" s="50">
        <f>(SUM(C22:E22))-(SUM(C21:E21))</f>
        <v>8330.4900000000052</v>
      </c>
      <c r="H13" s="41">
        <f>G13/(SUM(C21:E21))</f>
        <v>0.1686262666215135</v>
      </c>
      <c r="I13" s="50">
        <f>(SUM(C22:F22))-(SUM(C21:F21))</f>
        <v>9565.4900000000052</v>
      </c>
      <c r="J13" s="41">
        <f>I13/(SUM(C21:F21))</f>
        <v>0.14558246439842604</v>
      </c>
      <c r="K13" s="50">
        <f>(SUM(C22:G22))-(SUM(C21:G21))</f>
        <v>10144.640000000014</v>
      </c>
      <c r="L13" s="41">
        <f>K13/(SUM(C21:G21))</f>
        <v>0.11924797641521651</v>
      </c>
      <c r="M13" s="50">
        <f>(SUM(C22:H22))-(SUM(C21:H21))</f>
        <v>15922.270000000019</v>
      </c>
      <c r="N13" s="41">
        <f>M13/(SUM(C21:H21))</f>
        <v>0.14881580258323124</v>
      </c>
      <c r="O13" s="50">
        <f>(SUM(C22:I22))-(SUM(C21:I21))</f>
        <v>10766.040000000008</v>
      </c>
      <c r="P13" s="41">
        <f>O13/(SUM(C21:I21))</f>
        <v>8.0599310468947652E-2</v>
      </c>
      <c r="Q13" s="50">
        <f>(SUM(C22:J22))-(SUM(C21:J21))</f>
        <v>12816.23000000001</v>
      </c>
      <c r="R13" s="41">
        <f>Q13/(SUM(C21:J21))</f>
        <v>8.1451863581508202E-2</v>
      </c>
      <c r="S13" s="50">
        <f>(SUM(C22:K22))-(SUM(C21:K21))</f>
        <v>10944.010000000009</v>
      </c>
      <c r="T13" s="41">
        <f>S13/(SUM(C21:K21))</f>
        <v>5.8315497851589584E-2</v>
      </c>
      <c r="U13" s="50">
        <f>(SUM(C22:L22))-(SUM(C21:L21))</f>
        <v>7675.0599999999977</v>
      </c>
      <c r="V13" s="41">
        <f>U13/(SUM(C21:L21))</f>
        <v>3.476710704959983E-2</v>
      </c>
      <c r="W13" s="50">
        <f>(SUM(C22:M22))-(SUM(C21:M21))</f>
        <v>4918.9300000000221</v>
      </c>
      <c r="X13" s="41">
        <f>W13/(SUM(C21:M21))</f>
        <v>2.0206758462003573E-2</v>
      </c>
      <c r="Y13" s="50">
        <f>(SUM(C22:N22))-(SUM(C21:N21))</f>
        <v>5511.3800000000047</v>
      </c>
      <c r="Z13" s="41">
        <f>Y13/(SUM(C21:N21))</f>
        <v>2.1048855030402075E-2</v>
      </c>
    </row>
    <row r="14" spans="1:30" ht="13.5" x14ac:dyDescent="0.25">
      <c r="B14" s="45" t="s">
        <v>48</v>
      </c>
      <c r="C14" s="51">
        <f>C23-C22</f>
        <v>-62.799999999999272</v>
      </c>
      <c r="D14" s="46">
        <f>C14/C22</f>
        <v>-3.4181502690704361E-3</v>
      </c>
      <c r="E14" s="51">
        <f>(SUM(C23:D23))-(SUM(C22:D22))</f>
        <v>-6595.1100000000006</v>
      </c>
      <c r="F14" s="46">
        <f>E14/(SUM(C22:D22))</f>
        <v>-0.16349738247411666</v>
      </c>
      <c r="G14" s="51">
        <f>(SUM(C23:E23))-(SUM(C22:E22))</f>
        <v>-7734.2700000000041</v>
      </c>
      <c r="H14" s="46">
        <f>G14/(SUM(C22:E22))</f>
        <v>-0.13396716377476989</v>
      </c>
      <c r="I14" s="51">
        <f>(SUM(C23:F23))-(SUM(C22:F22))</f>
        <v>-6507.6499999999942</v>
      </c>
      <c r="J14" s="46">
        <f>I14/(SUM(C22:F22))</f>
        <v>-8.6456903074181093E-2</v>
      </c>
      <c r="K14" s="51">
        <f>(SUM(C23:G23))-(SUM(C22:G22))</f>
        <v>-9730.5400000000081</v>
      </c>
      <c r="L14" s="46">
        <f>K14/(SUM(C22:G22))</f>
        <v>-0.10219390685053976</v>
      </c>
      <c r="M14" s="51">
        <f>(SUM(C23:H23))-(SUM(C22:H22))</f>
        <v>-16154.280000000013</v>
      </c>
      <c r="N14" s="46">
        <f>M14/(SUM(C22:H22))</f>
        <v>-0.13142599451118467</v>
      </c>
      <c r="O14" s="51">
        <f>(SUM(C23:I23))-(SUM(C22:I22))</f>
        <v>-16537.260000000009</v>
      </c>
      <c r="P14" s="46">
        <f>O14/(SUM(C22:I22))</f>
        <v>-0.11457086862710002</v>
      </c>
      <c r="Q14" s="51">
        <f>(SUM(C23:J23))-(SUM(C22:J22))</f>
        <v>-15773.22000000003</v>
      </c>
      <c r="R14" s="46">
        <f>Q14/(SUM(C22:J22))</f>
        <v>-9.2694485868651685E-2</v>
      </c>
      <c r="S14" s="51">
        <f>(SUM(C23:K23))-(SUM(C22:K22))</f>
        <v>-17416.520000000048</v>
      </c>
      <c r="T14" s="46">
        <f>S14/(SUM(C22:K22))</f>
        <v>-8.76907396641078E-2</v>
      </c>
      <c r="U14" s="51">
        <f>(SUM(C23:L23))-(SUM(C22:L22))</f>
        <v>-15603.900000000052</v>
      </c>
      <c r="V14" s="46">
        <f>U14/(SUM(C22:L22))</f>
        <v>-6.8308904265446724E-2</v>
      </c>
      <c r="W14" s="51">
        <f>(SUM(C23:M23))-(SUM(C22:M22))</f>
        <v>-14532.770000000048</v>
      </c>
      <c r="X14" s="46">
        <f>W14/(SUM(C22:M22))</f>
        <v>-5.8517560397999983E-2</v>
      </c>
      <c r="Y14" s="51">
        <f>(SUM(C23:N23))-(SUM(C22:N22))</f>
        <v>-15652.290000000037</v>
      </c>
      <c r="Z14" s="46">
        <f>Y14/(SUM(C22:N22))</f>
        <v>-5.8546304099250213E-2</v>
      </c>
    </row>
    <row r="15" spans="1:30" ht="13.5" x14ac:dyDescent="0.25">
      <c r="B15" s="2" t="s">
        <v>50</v>
      </c>
      <c r="C15" s="50">
        <f>C24-C23</f>
        <v>1025.4900000000016</v>
      </c>
      <c r="D15" s="41">
        <f>C15/C23</f>
        <v>5.600798701890973E-2</v>
      </c>
      <c r="E15" s="50">
        <f>(SUM(C24:D24))-(SUM(C23:D23))</f>
        <v>4569.4200000000055</v>
      </c>
      <c r="F15" s="41">
        <f>E15/(SUM(C23:D23))</f>
        <v>0.13541991429231909</v>
      </c>
      <c r="G15" s="50">
        <f>(SUM(C24:E24))-(SUM(C23:E23))</f>
        <v>2880.756666666668</v>
      </c>
      <c r="H15" s="41">
        <f>G15/(SUM(C23:E23))</f>
        <v>5.7617080790664091E-2</v>
      </c>
      <c r="I15" s="50">
        <f>(SUM(C24:F24))-(SUM(C23:F23))</f>
        <v>-2508.6800000000076</v>
      </c>
      <c r="J15" s="41">
        <f>I15/(SUM(C23:F23))</f>
        <v>-3.6483098419494368E-2</v>
      </c>
      <c r="K15" s="50">
        <f>(SUM(C24:G24))-(SUM(C23:G23))</f>
        <v>-8688.7200000000012</v>
      </c>
      <c r="L15" s="41">
        <f>K15/(SUM(C23:G23))</f>
        <v>-0.10163921769554982</v>
      </c>
      <c r="M15" s="50">
        <f>(SUM(C24:H24))-(SUM(C23:H23))</f>
        <v>-8373.6699999999983</v>
      </c>
      <c r="N15" s="41">
        <f>M15/(SUM(C23:H23))</f>
        <v>-7.8433695859157715E-2</v>
      </c>
      <c r="O15" s="50">
        <f>(SUM(C24:I24))-(SUM(C23:I23))</f>
        <v>-11853.593333333338</v>
      </c>
      <c r="P15" s="41">
        <f>O15/(SUM(C23:I23))</f>
        <v>-9.2748494395803016E-2</v>
      </c>
      <c r="Q15" s="50">
        <f>(SUM(C24:J24))-(SUM(C23:J23))</f>
        <v>-16548.373333333322</v>
      </c>
      <c r="R15" s="41">
        <f>Q15/(SUM(C23:J23))</f>
        <v>-0.10718531755773078</v>
      </c>
      <c r="S15" s="50">
        <f>(SUM(C24:K24))-(SUM(C23:K23))</f>
        <v>-18026.309999999969</v>
      </c>
      <c r="T15" s="41">
        <f>S15/(SUM(C23:K23))</f>
        <v>-9.9484885108412829E-2</v>
      </c>
      <c r="U15" s="50">
        <f>(SUM(C24:L24))-(SUM(C23:L23))</f>
        <v>-22908.919999999955</v>
      </c>
      <c r="V15" s="41">
        <f>U15/(SUM(C23:L23))</f>
        <v>-0.10764077878650261</v>
      </c>
      <c r="W15" s="50">
        <f>(SUM(C24:M24))-(SUM(C23:M23))</f>
        <v>-23981.586666666641</v>
      </c>
      <c r="X15" s="41">
        <f>W15/(SUM(C23:M23))</f>
        <v>-0.10256601947713029</v>
      </c>
      <c r="Y15" s="50">
        <f>(SUM(C24:N24))-(SUM(C23:N23))</f>
        <v>-25926.623333333322</v>
      </c>
      <c r="Z15" s="41">
        <f>Y15/(SUM(C23:N23))</f>
        <v>-0.10300743952544027</v>
      </c>
    </row>
    <row r="16" spans="1:30" ht="13.5" x14ac:dyDescent="0.25">
      <c r="B16" s="2" t="s">
        <v>56</v>
      </c>
      <c r="C16" s="50">
        <f>C25-C24</f>
        <v>-1369.6200000000026</v>
      </c>
      <c r="D16" s="41">
        <f>C16/C24</f>
        <v>-7.083557449625566E-2</v>
      </c>
      <c r="E16" s="50">
        <f>(SUM(C25:D25))-(SUM(C24:D24))</f>
        <v>-6013.4000000000051</v>
      </c>
      <c r="F16" s="41">
        <f>E16/(SUM(C24:D24))</f>
        <v>-0.15695857331458912</v>
      </c>
      <c r="G16" s="50">
        <f>(SUM(C25:E25))-(SUM(C24:E24))</f>
        <v>-7260.3399999999965</v>
      </c>
      <c r="H16" s="41">
        <f>G16/(SUM(C24:E24))</f>
        <v>-0.1373008348609279</v>
      </c>
      <c r="I16" s="50">
        <f>(SUM(C25:F25))-(SUM(C24:F24))</f>
        <v>-5702.0133333333288</v>
      </c>
      <c r="J16" s="41">
        <f>I16/(SUM(C24:F24))</f>
        <v>-8.6062773655937605E-2</v>
      </c>
      <c r="K16" s="50">
        <f>(SUM(C25:G25))-(SUM(C24:G24))</f>
        <v>687.03333333334012</v>
      </c>
      <c r="L16" s="41">
        <f>K16/(SUM(C24:G24))</f>
        <v>8.9460750164698788E-3</v>
      </c>
      <c r="M16" s="52">
        <f>(SUM(C25:H25))-(SUM(C24:H24))</f>
        <v>-20903.246666666659</v>
      </c>
      <c r="N16" s="53">
        <f>M16/(SUM(C24:H24))</f>
        <v>-0.21245844406052011</v>
      </c>
      <c r="O16" s="52">
        <f>(SUM(C25:I25))-(SUM(C24:I24))</f>
        <v>-38465.813333333324</v>
      </c>
      <c r="P16" s="53">
        <f>O16/(SUM(C24:I24))</f>
        <v>-0.33174475624671407</v>
      </c>
      <c r="Q16" s="52">
        <f>(SUM(C25:J25))-(SUM(C24:J24))</f>
        <v>-60357.713333333333</v>
      </c>
      <c r="R16" s="53">
        <f>Q16/(SUM(C24:J24))</f>
        <v>-0.43787630362489127</v>
      </c>
      <c r="S16" s="52">
        <f>(SUM(C25:K25))-(SUM(C24:K24))</f>
        <v>-85685.94666666667</v>
      </c>
      <c r="T16" s="53">
        <f>S16/(SUM(C24:K24))</f>
        <v>-0.52513245477400194</v>
      </c>
      <c r="U16" s="52">
        <f>(SUM(C25:L25))-(SUM(C24:L24))</f>
        <v>-112434.38666666667</v>
      </c>
      <c r="V16" s="53">
        <f>U16/(SUM(C24:L24))</f>
        <v>-0.59201356089749324</v>
      </c>
      <c r="W16" s="52">
        <f>(SUM(C25:M25))-(SUM(C24:M24))</f>
        <v>-132350.29999999999</v>
      </c>
      <c r="X16" s="53">
        <f>W16/(SUM(C24:M24))</f>
        <v>-0.63073656424553226</v>
      </c>
      <c r="Y16" s="52">
        <f>(SUM(C25:N25))-(SUM(C24:N24))</f>
        <v>-148285.77333333332</v>
      </c>
      <c r="Z16" s="53">
        <f>Y16/(SUM(C24:N24))</f>
        <v>-0.65680020414877693</v>
      </c>
    </row>
    <row r="17" spans="2:17" ht="14.25" thickBot="1" x14ac:dyDescent="0.3">
      <c r="B17" s="20"/>
      <c r="C17" s="3"/>
      <c r="D17" s="23"/>
      <c r="E17" s="3"/>
      <c r="F17" s="3"/>
      <c r="G17" s="3"/>
      <c r="H17" s="24"/>
      <c r="I17" s="3"/>
      <c r="J17" s="3"/>
      <c r="K17" s="3"/>
      <c r="L17" s="3"/>
      <c r="M17" s="3"/>
      <c r="N17" s="3"/>
      <c r="O17" s="3"/>
    </row>
    <row r="18" spans="2:17" ht="14.25" thickBot="1" x14ac:dyDescent="0.3">
      <c r="B18" s="67" t="s">
        <v>35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9"/>
    </row>
    <row r="19" spans="2:17" ht="13.5" x14ac:dyDescent="0.25">
      <c r="B19" s="25"/>
      <c r="C19" s="4" t="s">
        <v>0</v>
      </c>
      <c r="D19" s="4" t="s">
        <v>1</v>
      </c>
      <c r="E19" s="4" t="s">
        <v>2</v>
      </c>
      <c r="F19" s="4" t="s">
        <v>3</v>
      </c>
      <c r="G19" s="4" t="s">
        <v>4</v>
      </c>
      <c r="H19" s="4" t="s">
        <v>5</v>
      </c>
      <c r="I19" s="4" t="s">
        <v>6</v>
      </c>
      <c r="J19" s="4" t="s">
        <v>7</v>
      </c>
      <c r="K19" s="4" t="s">
        <v>8</v>
      </c>
      <c r="L19" s="4" t="s">
        <v>9</v>
      </c>
      <c r="M19" s="4" t="s">
        <v>10</v>
      </c>
      <c r="N19" s="4" t="s">
        <v>11</v>
      </c>
      <c r="O19" s="26" t="s">
        <v>13</v>
      </c>
      <c r="P19" s="20"/>
      <c r="Q19" s="21"/>
    </row>
    <row r="20" spans="2:17" ht="13.5" x14ac:dyDescent="0.25">
      <c r="B20" s="2" t="s">
        <v>31</v>
      </c>
      <c r="C20" s="40">
        <f>'FY2021-FY2023 - 2% NW TDT'!B9</f>
        <v>0</v>
      </c>
      <c r="D20" s="40">
        <f>'FY2021-FY2023 - 2% NW TDT'!$B$10</f>
        <v>0</v>
      </c>
      <c r="E20" s="40">
        <f>'FY2021-FY2023 - 2% NW TDT'!$B$11</f>
        <v>0</v>
      </c>
      <c r="F20" s="40">
        <f>'FY2021-FY2023 - 2% NW TDT'!$B$12</f>
        <v>0</v>
      </c>
      <c r="G20" s="40">
        <f>'FY2021-FY2023 - 2% NW TDT'!$B$13</f>
        <v>0</v>
      </c>
      <c r="H20" s="27">
        <f>'FY2021-FY2023 - 2% NW TDT'!$B$14</f>
        <v>21225.67</v>
      </c>
      <c r="I20" s="27">
        <f>'FY2021-FY2023 - 2% NW TDT'!$B$15</f>
        <v>23823.98</v>
      </c>
      <c r="J20" s="27">
        <f>'FY2021-FY2023 - 2% NW TDT'!$B$16</f>
        <v>32522.77</v>
      </c>
      <c r="K20" s="27">
        <f>'FY2021-FY2023 - 2% NW TDT'!$B$17</f>
        <v>40505.74</v>
      </c>
      <c r="L20" s="27">
        <f>'FY2021-FY2023 - 2% NW TDT'!$B$18</f>
        <v>45893.19</v>
      </c>
      <c r="M20" s="27">
        <f>'FY2021-FY2023 - 2% NW TDT'!$B$19</f>
        <v>25293.29</v>
      </c>
      <c r="N20" s="27">
        <f>'FY2021-FY2023 - 2% NW TDT'!$B$20</f>
        <v>22414.69</v>
      </c>
      <c r="O20" s="47">
        <f t="shared" ref="O20" si="0">SUM(C20:N20)</f>
        <v>211679.33000000002</v>
      </c>
    </row>
    <row r="21" spans="2:17" ht="13.5" x14ac:dyDescent="0.25">
      <c r="B21" s="2" t="s">
        <v>37</v>
      </c>
      <c r="C21" s="27">
        <f>'FY2021-FY2023 - 2% NW TDT'!$B$25</f>
        <v>18275.259999999998</v>
      </c>
      <c r="D21" s="27">
        <f>'FY2021-FY2023 - 2% NW TDT'!$B$26</f>
        <v>16309.92</v>
      </c>
      <c r="E21" s="27">
        <f>'FY2021-FY2023 - 2% NW TDT'!$B$27</f>
        <v>14816.91</v>
      </c>
      <c r="F21" s="27">
        <f>'FY2021-FY2023 - 2% NW TDT'!$B$28</f>
        <v>16302.87</v>
      </c>
      <c r="G21" s="27">
        <f>'FY2021-FY2023 - 2% NW TDT'!$B$29</f>
        <v>19366.84</v>
      </c>
      <c r="H21" s="27">
        <f>'FY2021-FY2023 - 2% NW TDT'!$B$30</f>
        <v>21921.34</v>
      </c>
      <c r="I21" s="27">
        <f>'FY2021-FY2023 - 2% NW TDT'!$B$31</f>
        <v>26581.7</v>
      </c>
      <c r="J21" s="27">
        <f>'FY2021-FY2023 - 2% NW TDT'!$B$32</f>
        <v>23772.45</v>
      </c>
      <c r="K21" s="27">
        <f>'FY2021-FY2023 - 2% NW TDT'!$B$33</f>
        <v>30321.69</v>
      </c>
      <c r="L21" s="27">
        <f>'FY2021-FY2023 - 2% NW TDT'!$B$34</f>
        <v>33087.379999999997</v>
      </c>
      <c r="M21" s="27">
        <f>'FY2021-FY2023 - 2% NW TDT'!$B$35</f>
        <v>22673.58</v>
      </c>
      <c r="N21" s="27">
        <f>'FY2021-FY2023 - 2% NW TDT'!$B$36</f>
        <v>18407.580000000002</v>
      </c>
      <c r="O21" s="47">
        <f t="shared" ref="O21" si="1">SUM(C21:N21)</f>
        <v>261837.52000000002</v>
      </c>
    </row>
    <row r="22" spans="2:17" ht="13.5" x14ac:dyDescent="0.25">
      <c r="B22" s="2" t="s">
        <v>44</v>
      </c>
      <c r="C22" s="27">
        <f>'FY2021-FY2023 - 2% NW TDT'!$C$41</f>
        <v>18372.509999999998</v>
      </c>
      <c r="D22" s="27">
        <f>'FY2021-FY2023 - 2% NW TDT'!$C$42</f>
        <v>21965.200000000001</v>
      </c>
      <c r="E22" s="27">
        <f>'FY2021-FY2023 - 2% NW TDT'!$C$43</f>
        <v>17394.87</v>
      </c>
      <c r="F22" s="27">
        <f>'FY2021-FY2023 - 2% NW TDT'!$C$44</f>
        <v>17537.87</v>
      </c>
      <c r="G22" s="27">
        <f>'FY2021-FY2023 - 2% NW TDT'!$C$45</f>
        <v>19945.990000000002</v>
      </c>
      <c r="H22" s="27">
        <f>'FY2021-FY2023 - 2% NW TDT'!$C$46</f>
        <v>27698.97</v>
      </c>
      <c r="I22" s="27">
        <f>'FY2021-FY2023 - 2% NW TDT'!$C$47</f>
        <v>21425.47</v>
      </c>
      <c r="J22" s="27">
        <f>'FY2021-FY2023 - 2% NW TDT'!$C$48</f>
        <v>25822.639999999999</v>
      </c>
      <c r="K22" s="27">
        <f>'FY2021-FY2023 - 2% NW TDT'!$C$49</f>
        <v>28449.47</v>
      </c>
      <c r="L22" s="27">
        <f>'FY2021-FY2023 - 2% NW TDT'!$C$50</f>
        <v>29818.43</v>
      </c>
      <c r="M22" s="27">
        <f>'FY2021-FY2023 - 2% NW TDT'!$C$51</f>
        <v>19917.45</v>
      </c>
      <c r="N22" s="27">
        <f>'FY2021-FY2023 - 2% NW TDT'!$C$52</f>
        <v>19000.03</v>
      </c>
      <c r="O22" s="47">
        <f t="shared" ref="O22" si="2">SUM(C22:N22)</f>
        <v>267348.90000000002</v>
      </c>
    </row>
    <row r="23" spans="2:17" ht="13.5" x14ac:dyDescent="0.25">
      <c r="B23" s="2" t="s">
        <v>48</v>
      </c>
      <c r="C23" s="27">
        <f>F29</f>
        <v>18309.71</v>
      </c>
      <c r="D23" s="27">
        <f>F30</f>
        <v>15432.89</v>
      </c>
      <c r="E23" s="27">
        <f>F31</f>
        <v>16255.71</v>
      </c>
      <c r="F23" s="27">
        <f>F32</f>
        <v>18764.490000000002</v>
      </c>
      <c r="G23" s="27">
        <f>F33</f>
        <v>16723.099999999999</v>
      </c>
      <c r="H23" s="27">
        <f>F34</f>
        <v>21275.23</v>
      </c>
      <c r="I23" s="27">
        <f>F35</f>
        <v>21042.49</v>
      </c>
      <c r="J23" s="27">
        <f>F36</f>
        <v>26586.68</v>
      </c>
      <c r="K23" s="27">
        <f>F37</f>
        <v>26806.17</v>
      </c>
      <c r="L23" s="27">
        <f>F38</f>
        <v>31631.05</v>
      </c>
      <c r="M23" s="27">
        <f>F39</f>
        <v>20988.58</v>
      </c>
      <c r="N23" s="27">
        <f>F40</f>
        <v>17880.509999999998</v>
      </c>
      <c r="O23" s="47">
        <f t="shared" ref="O23" si="3">SUM(C23:N23)</f>
        <v>251696.61</v>
      </c>
    </row>
    <row r="24" spans="2:17" ht="13.5" x14ac:dyDescent="0.25">
      <c r="B24" s="2" t="s">
        <v>50</v>
      </c>
      <c r="C24" s="27">
        <f>G29</f>
        <v>19335.2</v>
      </c>
      <c r="D24" s="27">
        <f>G30</f>
        <v>18976.82</v>
      </c>
      <c r="E24" s="27">
        <f>G31</f>
        <v>14567.046666666665</v>
      </c>
      <c r="F24" s="27">
        <f>G32</f>
        <v>13375.053333333331</v>
      </c>
      <c r="G24" s="27">
        <f>G33</f>
        <v>10543.06</v>
      </c>
      <c r="H24" s="27">
        <f>G34</f>
        <v>21590.28</v>
      </c>
      <c r="I24" s="27">
        <f>G35</f>
        <v>17562.566666666666</v>
      </c>
      <c r="J24" s="27">
        <f>G36</f>
        <v>21891.899999999998</v>
      </c>
      <c r="K24" s="27">
        <f>G37</f>
        <v>25328.23333333333</v>
      </c>
      <c r="L24" s="27">
        <f>G38</f>
        <v>26748.440000000002</v>
      </c>
      <c r="M24" s="27">
        <f>G39</f>
        <v>19915.91333333333</v>
      </c>
      <c r="N24" s="27">
        <f>G40</f>
        <v>15935.473333333332</v>
      </c>
      <c r="O24" s="47">
        <f>SUM(C24:N24)</f>
        <v>225769.98666666666</v>
      </c>
    </row>
    <row r="25" spans="2:17" ht="13.5" x14ac:dyDescent="0.25">
      <c r="B25" s="2" t="s">
        <v>56</v>
      </c>
      <c r="C25" s="27">
        <f>H29</f>
        <v>17965.579999999998</v>
      </c>
      <c r="D25" s="27">
        <f>H30</f>
        <v>14333.04</v>
      </c>
      <c r="E25" s="27">
        <f>H31</f>
        <v>13320.106666666667</v>
      </c>
      <c r="F25" s="27">
        <f>H32</f>
        <v>14933.38</v>
      </c>
      <c r="G25" s="27">
        <f>H33</f>
        <v>16932.106666666667</v>
      </c>
      <c r="H25" s="27">
        <f>H34</f>
        <v>0</v>
      </c>
      <c r="I25" s="27">
        <f>H35</f>
        <v>0</v>
      </c>
      <c r="J25" s="27">
        <f>H36</f>
        <v>0</v>
      </c>
      <c r="K25" s="27">
        <f>H37</f>
        <v>0</v>
      </c>
      <c r="L25" s="27">
        <f>H38</f>
        <v>0</v>
      </c>
      <c r="M25" s="27">
        <f>H39</f>
        <v>0</v>
      </c>
      <c r="N25" s="27">
        <f>H40</f>
        <v>0</v>
      </c>
      <c r="O25" s="47">
        <f>SUM(C25:N25)</f>
        <v>77484.213333333333</v>
      </c>
    </row>
    <row r="27" spans="2:17" ht="13.5" x14ac:dyDescent="0.25">
      <c r="B27" s="57" t="s">
        <v>40</v>
      </c>
      <c r="C27" s="57"/>
      <c r="D27" s="57"/>
      <c r="E27" s="57"/>
      <c r="F27" s="57"/>
      <c r="G27" s="57"/>
      <c r="H27" s="57"/>
    </row>
    <row r="28" spans="2:17" ht="13.5" x14ac:dyDescent="0.25">
      <c r="B28" s="5"/>
      <c r="C28" s="4" t="s">
        <v>31</v>
      </c>
      <c r="D28" s="4" t="s">
        <v>37</v>
      </c>
      <c r="E28" s="4" t="s">
        <v>44</v>
      </c>
      <c r="F28" s="4" t="s">
        <v>48</v>
      </c>
      <c r="G28" s="4" t="s">
        <v>50</v>
      </c>
      <c r="H28" s="4" t="s">
        <v>56</v>
      </c>
    </row>
    <row r="29" spans="2:17" ht="13.5" x14ac:dyDescent="0.25">
      <c r="B29" s="28" t="s">
        <v>0</v>
      </c>
      <c r="C29" s="27">
        <f>'FY2021-FY2023 - 2% NW TDT'!$B$9</f>
        <v>0</v>
      </c>
      <c r="D29" s="27">
        <f>'FY2021-FY2023 - 2% NW TDT'!$B$25</f>
        <v>18275.259999999998</v>
      </c>
      <c r="E29" s="27">
        <f>'FY2021-FY2023 - 2% NW TDT'!$C$41</f>
        <v>18372.509999999998</v>
      </c>
      <c r="F29" s="27">
        <f>'FY2024-Present - 3% NW TDT'!B9</f>
        <v>18309.71</v>
      </c>
      <c r="G29" s="27">
        <f>'FY2024-Present - 3% NW TDT'!B25</f>
        <v>19335.2</v>
      </c>
      <c r="H29" s="27">
        <f>'FY2024-Present - 3% NW TDT'!B41</f>
        <v>17965.579999999998</v>
      </c>
    </row>
    <row r="30" spans="2:17" ht="13.5" x14ac:dyDescent="0.25">
      <c r="B30" s="28" t="s">
        <v>1</v>
      </c>
      <c r="C30" s="27">
        <f>'FY2021-FY2023 - 2% NW TDT'!$B$10</f>
        <v>0</v>
      </c>
      <c r="D30" s="27">
        <f>'FY2021-FY2023 - 2% NW TDT'!$B$26</f>
        <v>16309.92</v>
      </c>
      <c r="E30" s="27">
        <f>'FY2021-FY2023 - 2% NW TDT'!$C$42</f>
        <v>21965.200000000001</v>
      </c>
      <c r="F30" s="27">
        <f>'FY2024-Present - 3% NW TDT'!B10</f>
        <v>15432.89</v>
      </c>
      <c r="G30" s="27">
        <f>'FY2024-Present - 3% NW TDT'!B26</f>
        <v>18976.82</v>
      </c>
      <c r="H30" s="27">
        <f>'FY2024-Present - 3% NW TDT'!B42</f>
        <v>14333.04</v>
      </c>
    </row>
    <row r="31" spans="2:17" ht="13.5" x14ac:dyDescent="0.25">
      <c r="B31" s="28" t="s">
        <v>2</v>
      </c>
      <c r="C31" s="27">
        <f>'FY2021-FY2023 - 2% NW TDT'!$B$11</f>
        <v>0</v>
      </c>
      <c r="D31" s="27">
        <f>'FY2021-FY2023 - 2% NW TDT'!$B$27</f>
        <v>14816.91</v>
      </c>
      <c r="E31" s="27">
        <f>'FY2021-FY2023 - 2% NW TDT'!$C$43</f>
        <v>17394.87</v>
      </c>
      <c r="F31" s="27">
        <f>'FY2024-Present - 3% NW TDT'!B11</f>
        <v>16255.71</v>
      </c>
      <c r="G31" s="27">
        <f>'FY2024-Present - 3% NW TDT'!B27</f>
        <v>14567.046666666665</v>
      </c>
      <c r="H31" s="27">
        <f>'FY2024-Present - 3% NW TDT'!B43</f>
        <v>13320.106666666667</v>
      </c>
    </row>
    <row r="32" spans="2:17" ht="13.5" x14ac:dyDescent="0.25">
      <c r="B32" s="28" t="s">
        <v>3</v>
      </c>
      <c r="C32" s="27">
        <f>'FY2021-FY2023 - 2% NW TDT'!$B$12</f>
        <v>0</v>
      </c>
      <c r="D32" s="27">
        <f>'FY2021-FY2023 - 2% NW TDT'!$B$28</f>
        <v>16302.87</v>
      </c>
      <c r="E32" s="27">
        <f>'FY2021-FY2023 - 2% NW TDT'!$C$44</f>
        <v>17537.87</v>
      </c>
      <c r="F32" s="27">
        <f>'FY2024-Present - 3% NW TDT'!B12</f>
        <v>18764.490000000002</v>
      </c>
      <c r="G32" s="27">
        <f>'FY2024-Present - 3% NW TDT'!B28</f>
        <v>13375.053333333331</v>
      </c>
      <c r="H32" s="27">
        <f>'FY2024-Present - 3% NW TDT'!B44</f>
        <v>14933.38</v>
      </c>
    </row>
    <row r="33" spans="2:8" ht="13.5" x14ac:dyDescent="0.25">
      <c r="B33" s="28" t="s">
        <v>4</v>
      </c>
      <c r="C33" s="27">
        <f>'FY2021-FY2023 - 2% NW TDT'!$B$13</f>
        <v>0</v>
      </c>
      <c r="D33" s="27">
        <f>'FY2021-FY2023 - 2% NW TDT'!$B$29</f>
        <v>19366.84</v>
      </c>
      <c r="E33" s="27">
        <f>'FY2021-FY2023 - 2% NW TDT'!$C$45</f>
        <v>19945.990000000002</v>
      </c>
      <c r="F33" s="27">
        <f>'FY2024-Present - 3% NW TDT'!B13</f>
        <v>16723.099999999999</v>
      </c>
      <c r="G33" s="27">
        <f>'FY2024-Present - 3% NW TDT'!B29</f>
        <v>10543.06</v>
      </c>
      <c r="H33" s="27">
        <f>'FY2024-Present - 3% NW TDT'!B45</f>
        <v>16932.106666666667</v>
      </c>
    </row>
    <row r="34" spans="2:8" ht="13.5" x14ac:dyDescent="0.25">
      <c r="B34" s="28" t="s">
        <v>5</v>
      </c>
      <c r="C34" s="27">
        <f>'FY2021-FY2023 - 2% NW TDT'!$B$14</f>
        <v>21225.67</v>
      </c>
      <c r="D34" s="27">
        <f>'FY2021-FY2023 - 2% NW TDT'!$B$30</f>
        <v>21921.34</v>
      </c>
      <c r="E34" s="27">
        <f>'FY2021-FY2023 - 2% NW TDT'!$C$46</f>
        <v>27698.97</v>
      </c>
      <c r="F34" s="27">
        <f>'FY2024-Present - 3% NW TDT'!B14</f>
        <v>21275.23</v>
      </c>
      <c r="G34" s="27">
        <f>'FY2024-Present - 3% NW TDT'!B30</f>
        <v>21590.28</v>
      </c>
      <c r="H34" s="27">
        <f>'FY2024-Present - 3% NW TDT'!B46</f>
        <v>0</v>
      </c>
    </row>
    <row r="35" spans="2:8" ht="13.5" x14ac:dyDescent="0.25">
      <c r="B35" s="28" t="s">
        <v>6</v>
      </c>
      <c r="C35" s="27">
        <f>'FY2021-FY2023 - 2% NW TDT'!$B$15</f>
        <v>23823.98</v>
      </c>
      <c r="D35" s="27">
        <f>'FY2021-FY2023 - 2% NW TDT'!$B$31</f>
        <v>26581.7</v>
      </c>
      <c r="E35" s="27">
        <f>'FY2021-FY2023 - 2% NW TDT'!$C$47</f>
        <v>21425.47</v>
      </c>
      <c r="F35" s="27">
        <f>'FY2024-Present - 3% NW TDT'!B15</f>
        <v>21042.49</v>
      </c>
      <c r="G35" s="27">
        <f>'FY2024-Present - 3% NW TDT'!B31</f>
        <v>17562.566666666666</v>
      </c>
      <c r="H35" s="27">
        <f>'FY2024-Present - 3% NW TDT'!B47</f>
        <v>0</v>
      </c>
    </row>
    <row r="36" spans="2:8" ht="13.5" x14ac:dyDescent="0.25">
      <c r="B36" s="28" t="s">
        <v>7</v>
      </c>
      <c r="C36" s="27">
        <f>'FY2021-FY2023 - 2% NW TDT'!$B$16</f>
        <v>32522.77</v>
      </c>
      <c r="D36" s="27">
        <f>'FY2021-FY2023 - 2% NW TDT'!$B$32</f>
        <v>23772.45</v>
      </c>
      <c r="E36" s="27">
        <f>'FY2021-FY2023 - 2% NW TDT'!$C$48</f>
        <v>25822.639999999999</v>
      </c>
      <c r="F36" s="27">
        <f>'FY2024-Present - 3% NW TDT'!B16</f>
        <v>26586.68</v>
      </c>
      <c r="G36" s="27">
        <f>'FY2024-Present - 3% NW TDT'!B32</f>
        <v>21891.899999999998</v>
      </c>
      <c r="H36" s="27">
        <f>'FY2024-Present - 3% NW TDT'!B48</f>
        <v>0</v>
      </c>
    </row>
    <row r="37" spans="2:8" ht="13.5" x14ac:dyDescent="0.25">
      <c r="B37" s="28" t="s">
        <v>8</v>
      </c>
      <c r="C37" s="27">
        <f>'FY2021-FY2023 - 2% NW TDT'!$B$17</f>
        <v>40505.74</v>
      </c>
      <c r="D37" s="27">
        <f>'FY2021-FY2023 - 2% NW TDT'!$B$33</f>
        <v>30321.69</v>
      </c>
      <c r="E37" s="27">
        <f>'FY2021-FY2023 - 2% NW TDT'!$C$49</f>
        <v>28449.47</v>
      </c>
      <c r="F37" s="27">
        <f>'FY2024-Present - 3% NW TDT'!B17</f>
        <v>26806.17</v>
      </c>
      <c r="G37" s="27">
        <f>'FY2024-Present - 3% NW TDT'!B33</f>
        <v>25328.23333333333</v>
      </c>
      <c r="H37" s="27">
        <f>'FY2024-Present - 3% NW TDT'!B49</f>
        <v>0</v>
      </c>
    </row>
    <row r="38" spans="2:8" ht="13.5" x14ac:dyDescent="0.25">
      <c r="B38" s="28" t="s">
        <v>9</v>
      </c>
      <c r="C38" s="27">
        <f>'FY2021-FY2023 - 2% NW TDT'!$B$18</f>
        <v>45893.19</v>
      </c>
      <c r="D38" s="27">
        <f>'FY2021-FY2023 - 2% NW TDT'!$B$34</f>
        <v>33087.379999999997</v>
      </c>
      <c r="E38" s="27">
        <f>'FY2021-FY2023 - 2% NW TDT'!$C$50</f>
        <v>29818.43</v>
      </c>
      <c r="F38" s="27">
        <f>'FY2024-Present - 3% NW TDT'!B18</f>
        <v>31631.05</v>
      </c>
      <c r="G38" s="27">
        <f>'FY2024-Present - 3% NW TDT'!B34</f>
        <v>26748.440000000002</v>
      </c>
      <c r="H38" s="27">
        <f>'FY2024-Present - 3% NW TDT'!B50</f>
        <v>0</v>
      </c>
    </row>
    <row r="39" spans="2:8" ht="13.5" x14ac:dyDescent="0.25">
      <c r="B39" s="28" t="s">
        <v>10</v>
      </c>
      <c r="C39" s="27">
        <f>'FY2021-FY2023 - 2% NW TDT'!$B$19</f>
        <v>25293.29</v>
      </c>
      <c r="D39" s="27">
        <f>'FY2021-FY2023 - 2% NW TDT'!$B$35</f>
        <v>22673.58</v>
      </c>
      <c r="E39" s="27">
        <f>'FY2021-FY2023 - 2% NW TDT'!$C$51</f>
        <v>19917.45</v>
      </c>
      <c r="F39" s="27">
        <f>'FY2024-Present - 3% NW TDT'!B19</f>
        <v>20988.58</v>
      </c>
      <c r="G39" s="27">
        <f>'FY2024-Present - 3% NW TDT'!B35</f>
        <v>19915.91333333333</v>
      </c>
      <c r="H39" s="27">
        <f>'FY2024-Present - 3% NW TDT'!B51</f>
        <v>0</v>
      </c>
    </row>
    <row r="40" spans="2:8" ht="13.5" x14ac:dyDescent="0.25">
      <c r="B40" s="28" t="s">
        <v>11</v>
      </c>
      <c r="C40" s="27">
        <f>'FY2021-FY2023 - 2% NW TDT'!$B$20</f>
        <v>22414.69</v>
      </c>
      <c r="D40" s="27">
        <f>'FY2021-FY2023 - 2% NW TDT'!$B$36</f>
        <v>18407.580000000002</v>
      </c>
      <c r="E40" s="27">
        <f>'FY2021-FY2023 - 2% NW TDT'!$C$52</f>
        <v>19000.03</v>
      </c>
      <c r="F40" s="27">
        <f>'FY2024-Present - 3% NW TDT'!B20</f>
        <v>17880.509999999998</v>
      </c>
      <c r="G40" s="27">
        <f>'FY2024-Present - 3% NW TDT'!B36</f>
        <v>15935.473333333332</v>
      </c>
      <c r="H40" s="27">
        <f>'FY2024-Present - 3% NW TDT'!B52</f>
        <v>0</v>
      </c>
    </row>
    <row r="41" spans="2:8" ht="14.25" thickBot="1" x14ac:dyDescent="0.3">
      <c r="B41" s="29" t="s">
        <v>13</v>
      </c>
      <c r="C41" s="48">
        <f t="shared" ref="C41" si="4">SUM(C29:C40)</f>
        <v>211679.33000000002</v>
      </c>
      <c r="D41" s="48">
        <f>SUM(D29:D40)</f>
        <v>261837.52000000002</v>
      </c>
      <c r="E41" s="48">
        <f>SUM(E29:E40)</f>
        <v>267348.90000000002</v>
      </c>
      <c r="F41" s="48">
        <f>SUM(F29:F40)</f>
        <v>251696.61</v>
      </c>
      <c r="G41" s="48">
        <f>SUM(G29:G40)</f>
        <v>225769.98666666666</v>
      </c>
      <c r="H41" s="48">
        <f>SUM(H29:H40)</f>
        <v>77484.213333333333</v>
      </c>
    </row>
    <row r="42" spans="2:8" ht="13.5" thickTop="1" x14ac:dyDescent="0.2"/>
    <row r="43" spans="2:8" ht="13.5" x14ac:dyDescent="0.25">
      <c r="B43" s="56" t="s">
        <v>36</v>
      </c>
      <c r="C43" s="56"/>
      <c r="D43" s="56"/>
      <c r="E43" s="56"/>
      <c r="F43" s="56"/>
    </row>
    <row r="44" spans="2:8" ht="13.5" x14ac:dyDescent="0.25">
      <c r="B44" s="63">
        <f>O20+O21+O22+O23+O24</f>
        <v>1218332.3466666667</v>
      </c>
      <c r="C44" s="63"/>
      <c r="D44" s="64" t="s">
        <v>59</v>
      </c>
      <c r="E44" s="64"/>
      <c r="F44" s="64"/>
    </row>
    <row r="45" spans="2:8" x14ac:dyDescent="0.2">
      <c r="B45" s="3"/>
      <c r="C45" s="3"/>
    </row>
    <row r="46" spans="2:8" ht="13.5" x14ac:dyDescent="0.25">
      <c r="B46" s="63">
        <f>SUM(O20:O25)</f>
        <v>1295816.56</v>
      </c>
      <c r="C46" s="63"/>
      <c r="D46" s="64" t="s">
        <v>60</v>
      </c>
      <c r="E46" s="64"/>
      <c r="F46" s="64"/>
    </row>
    <row r="47" spans="2:8" x14ac:dyDescent="0.2">
      <c r="C47" s="33" t="s">
        <v>29</v>
      </c>
      <c r="D47" s="34" t="s">
        <v>62</v>
      </c>
    </row>
    <row r="49" spans="1:15" ht="13.5" x14ac:dyDescent="0.25">
      <c r="B49" s="59">
        <f>'FY2021-FY2023 - 2% NW TDT'!C21+'FY2021-FY2023 - 2% NW TDT'!C37+'FY2021-FY2023 - 2% NW TDT'!C53+'FY2024-Present - 3% NW TDT'!D21+'FY2024-Present - 3% NW TDT'!D37</f>
        <v>1457181.3</v>
      </c>
      <c r="C49" s="59"/>
      <c r="D49" s="42" t="s">
        <v>55</v>
      </c>
      <c r="E49" s="42"/>
      <c r="F49" s="42"/>
      <c r="G49" s="43"/>
    </row>
    <row r="50" spans="1:15" x14ac:dyDescent="0.2">
      <c r="B50" s="43"/>
      <c r="C50" s="43"/>
      <c r="D50" s="43"/>
      <c r="E50" s="43"/>
      <c r="F50" s="43"/>
      <c r="G50" s="43"/>
    </row>
    <row r="51" spans="1:15" ht="13.5" x14ac:dyDescent="0.25">
      <c r="B51" s="59">
        <f>'FY2021-FY2023 - 2% NW TDT'!C53+'FY2021-FY2023 - 2% NW TDT'!C21+'FY2021-FY2023 - 2% NW TDT'!C37+'FY2024-Present - 3% NW TDT'!D21+'FY2024-Present - 3% NW TDT'!D37+'FY2024-Present - 3% NW TDT'!D53</f>
        <v>1573407.62</v>
      </c>
      <c r="C51" s="59"/>
      <c r="D51" s="42" t="s">
        <v>61</v>
      </c>
      <c r="E51" s="42"/>
      <c r="F51" s="42"/>
      <c r="G51" s="43"/>
    </row>
    <row r="52" spans="1:15" x14ac:dyDescent="0.2">
      <c r="B52" s="43"/>
      <c r="C52" s="44" t="s">
        <v>29</v>
      </c>
      <c r="D52" s="34" t="s">
        <v>62</v>
      </c>
      <c r="E52" s="43"/>
      <c r="F52" s="43"/>
      <c r="G52" s="43"/>
    </row>
    <row r="54" spans="1:15" ht="12.75" customHeight="1" x14ac:dyDescent="0.2">
      <c r="A54" s="54" t="s">
        <v>46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</sheetData>
  <sheetProtection algorithmName="SHA-512" hashValue="VIcSfzkh86o4a7nPUH1vcwNy/XgdZAeoaDVw+m2JUbu9S+/329Oa8gmWRjRo4LIVtlzR0UkIRz7efgaO5MPChA==" saltValue="AHGgi8HXyMc3xhtQDZNTqw==" spinCount="100000" sheet="1" objects="1" scenarios="1"/>
  <mergeCells count="25">
    <mergeCell ref="A5:O7"/>
    <mergeCell ref="B49:C49"/>
    <mergeCell ref="B51:C51"/>
    <mergeCell ref="B9:Z9"/>
    <mergeCell ref="Q10:R10"/>
    <mergeCell ref="S10:T10"/>
    <mergeCell ref="U10:V10"/>
    <mergeCell ref="W10:X10"/>
    <mergeCell ref="Y10:Z10"/>
    <mergeCell ref="B46:C46"/>
    <mergeCell ref="B44:C44"/>
    <mergeCell ref="D44:F44"/>
    <mergeCell ref="D46:F46"/>
    <mergeCell ref="B10:B11"/>
    <mergeCell ref="B18:O18"/>
    <mergeCell ref="M10:N10"/>
    <mergeCell ref="A54:O54"/>
    <mergeCell ref="O10:P10"/>
    <mergeCell ref="B43:F43"/>
    <mergeCell ref="C10:D10"/>
    <mergeCell ref="E10:F10"/>
    <mergeCell ref="G10:H10"/>
    <mergeCell ref="I10:J10"/>
    <mergeCell ref="K10:L10"/>
    <mergeCell ref="B27:H27"/>
  </mergeCells>
  <phoneticPr fontId="7" type="noConversion"/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132BE-AF4A-4D35-9AE6-FB4E29ECF539}">
  <dimension ref="A1:D54"/>
  <sheetViews>
    <sheetView tabSelected="1" topLeftCell="A20" zoomScaleNormal="100" workbookViewId="0">
      <selection activeCell="I37" sqref="I37"/>
    </sheetView>
  </sheetViews>
  <sheetFormatPr defaultColWidth="9.140625" defaultRowHeight="14.25" x14ac:dyDescent="0.2"/>
  <cols>
    <col min="1" max="1" width="14.42578125" style="6" customWidth="1"/>
    <col min="2" max="2" width="16.28515625" style="7" customWidth="1"/>
    <col min="3" max="3" width="16.7109375" style="7" bestFit="1" customWidth="1"/>
    <col min="4" max="4" width="17.5703125" style="8" bestFit="1" customWidth="1"/>
    <col min="5" max="5" width="17.28515625" style="8" bestFit="1" customWidth="1"/>
    <col min="6" max="6" width="16.5703125" style="8" customWidth="1"/>
    <col min="7" max="16384" width="9.140625" style="8"/>
  </cols>
  <sheetData>
    <row r="1" spans="1:4" x14ac:dyDescent="0.2">
      <c r="A1" s="6" t="s">
        <v>12</v>
      </c>
    </row>
    <row r="2" spans="1:4" x14ac:dyDescent="0.2">
      <c r="A2" s="6" t="s">
        <v>34</v>
      </c>
    </row>
    <row r="3" spans="1:4" ht="15" x14ac:dyDescent="0.25">
      <c r="A3" s="9" t="s">
        <v>53</v>
      </c>
    </row>
    <row r="5" spans="1:4" ht="14.25" customHeight="1" x14ac:dyDescent="0.25">
      <c r="A5" s="38" t="s">
        <v>47</v>
      </c>
      <c r="B5" s="37"/>
      <c r="C5" s="37"/>
    </row>
    <row r="7" spans="1:4" ht="15" x14ac:dyDescent="0.25">
      <c r="A7" s="10"/>
      <c r="B7" s="11">
        <v>0.02</v>
      </c>
      <c r="C7" s="11">
        <v>0.03</v>
      </c>
      <c r="D7" s="12"/>
    </row>
    <row r="8" spans="1:4" x14ac:dyDescent="0.2">
      <c r="A8" s="13"/>
      <c r="B8" s="35" t="s">
        <v>48</v>
      </c>
      <c r="C8" s="35" t="s">
        <v>52</v>
      </c>
      <c r="D8" s="35" t="s">
        <v>49</v>
      </c>
    </row>
    <row r="9" spans="1:4" x14ac:dyDescent="0.2">
      <c r="A9" s="13" t="s">
        <v>0</v>
      </c>
      <c r="B9" s="39">
        <v>18309.71</v>
      </c>
      <c r="C9" s="39">
        <v>9154.85</v>
      </c>
      <c r="D9" s="15">
        <f>SUM(B9:C9)</f>
        <v>27464.559999999998</v>
      </c>
    </row>
    <row r="10" spans="1:4" x14ac:dyDescent="0.2">
      <c r="A10" s="13" t="s">
        <v>1</v>
      </c>
      <c r="B10" s="39">
        <v>15432.89</v>
      </c>
      <c r="C10" s="39">
        <v>7716.44</v>
      </c>
      <c r="D10" s="15">
        <f t="shared" ref="D10:D20" si="0">SUM(B10:C10)</f>
        <v>23149.329999999998</v>
      </c>
    </row>
    <row r="11" spans="1:4" x14ac:dyDescent="0.2">
      <c r="A11" s="13" t="s">
        <v>2</v>
      </c>
      <c r="B11" s="39">
        <v>16255.71</v>
      </c>
      <c r="C11" s="39">
        <v>8127.85</v>
      </c>
      <c r="D11" s="15">
        <f t="shared" si="0"/>
        <v>24383.559999999998</v>
      </c>
    </row>
    <row r="12" spans="1:4" x14ac:dyDescent="0.2">
      <c r="A12" s="13" t="s">
        <v>3</v>
      </c>
      <c r="B12" s="39">
        <v>18764.490000000002</v>
      </c>
      <c r="C12" s="39">
        <v>9382.25</v>
      </c>
      <c r="D12" s="15">
        <f t="shared" si="0"/>
        <v>28146.74</v>
      </c>
    </row>
    <row r="13" spans="1:4" x14ac:dyDescent="0.2">
      <c r="A13" s="13" t="s">
        <v>4</v>
      </c>
      <c r="B13" s="39">
        <v>16723.099999999999</v>
      </c>
      <c r="C13" s="39">
        <v>8361.5499999999993</v>
      </c>
      <c r="D13" s="15">
        <f t="shared" si="0"/>
        <v>25084.649999999998</v>
      </c>
    </row>
    <row r="14" spans="1:4" x14ac:dyDescent="0.2">
      <c r="A14" s="13" t="s">
        <v>5</v>
      </c>
      <c r="B14" s="39">
        <v>21275.23</v>
      </c>
      <c r="C14" s="39">
        <v>10637.61</v>
      </c>
      <c r="D14" s="15">
        <f t="shared" si="0"/>
        <v>31912.84</v>
      </c>
    </row>
    <row r="15" spans="1:4" x14ac:dyDescent="0.2">
      <c r="A15" s="13" t="s">
        <v>6</v>
      </c>
      <c r="B15" s="39">
        <v>21042.49</v>
      </c>
      <c r="C15" s="39">
        <v>10521.25</v>
      </c>
      <c r="D15" s="15">
        <f t="shared" si="0"/>
        <v>31563.74</v>
      </c>
    </row>
    <row r="16" spans="1:4" x14ac:dyDescent="0.2">
      <c r="A16" s="13" t="s">
        <v>7</v>
      </c>
      <c r="B16" s="39">
        <v>26586.68</v>
      </c>
      <c r="C16" s="39">
        <v>13293.34</v>
      </c>
      <c r="D16" s="15">
        <f t="shared" si="0"/>
        <v>39880.020000000004</v>
      </c>
    </row>
    <row r="17" spans="1:4" x14ac:dyDescent="0.2">
      <c r="A17" s="13" t="s">
        <v>8</v>
      </c>
      <c r="B17" s="39">
        <v>26806.17</v>
      </c>
      <c r="C17" s="39">
        <v>13403.09</v>
      </c>
      <c r="D17" s="15">
        <f t="shared" si="0"/>
        <v>40209.259999999995</v>
      </c>
    </row>
    <row r="18" spans="1:4" x14ac:dyDescent="0.2">
      <c r="A18" s="13" t="s">
        <v>9</v>
      </c>
      <c r="B18" s="39">
        <v>31631.05</v>
      </c>
      <c r="C18" s="39">
        <v>15815.53</v>
      </c>
      <c r="D18" s="15">
        <f t="shared" si="0"/>
        <v>47446.58</v>
      </c>
    </row>
    <row r="19" spans="1:4" x14ac:dyDescent="0.2">
      <c r="A19" s="13" t="s">
        <v>10</v>
      </c>
      <c r="B19" s="39">
        <v>20988.58</v>
      </c>
      <c r="C19" s="39">
        <v>10494.29</v>
      </c>
      <c r="D19" s="15">
        <f t="shared" si="0"/>
        <v>31482.870000000003</v>
      </c>
    </row>
    <row r="20" spans="1:4" x14ac:dyDescent="0.2">
      <c r="A20" s="13" t="s">
        <v>11</v>
      </c>
      <c r="B20" s="39">
        <v>17880.509999999998</v>
      </c>
      <c r="C20" s="39">
        <v>9055.91</v>
      </c>
      <c r="D20" s="15">
        <f t="shared" si="0"/>
        <v>26936.42</v>
      </c>
    </row>
    <row r="21" spans="1:4" ht="15" thickBot="1" x14ac:dyDescent="0.25">
      <c r="A21" s="18" t="s">
        <v>49</v>
      </c>
      <c r="B21" s="19">
        <f t="shared" ref="B21:D21" si="1">SUM(B9:B20)</f>
        <v>251696.61</v>
      </c>
      <c r="C21" s="19">
        <f t="shared" si="1"/>
        <v>125963.95999999999</v>
      </c>
      <c r="D21" s="19">
        <f t="shared" si="1"/>
        <v>377660.57</v>
      </c>
    </row>
    <row r="22" spans="1:4" ht="15" thickTop="1" x14ac:dyDescent="0.2"/>
    <row r="23" spans="1:4" ht="15" x14ac:dyDescent="0.25">
      <c r="A23" s="10"/>
      <c r="B23" s="11">
        <v>0.02</v>
      </c>
      <c r="C23" s="11">
        <v>0.03</v>
      </c>
      <c r="D23" s="12"/>
    </row>
    <row r="24" spans="1:4" x14ac:dyDescent="0.2">
      <c r="A24" s="13"/>
      <c r="B24" s="35" t="s">
        <v>50</v>
      </c>
      <c r="C24" s="35" t="s">
        <v>51</v>
      </c>
      <c r="D24" s="35" t="s">
        <v>54</v>
      </c>
    </row>
    <row r="25" spans="1:4" x14ac:dyDescent="0.2">
      <c r="A25" s="13" t="s">
        <v>0</v>
      </c>
      <c r="B25" s="39">
        <v>19335.2</v>
      </c>
      <c r="C25" s="39">
        <v>9667.6</v>
      </c>
      <c r="D25" s="15">
        <f>SUM(B25:C25)</f>
        <v>29002.800000000003</v>
      </c>
    </row>
    <row r="26" spans="1:4" x14ac:dyDescent="0.2">
      <c r="A26" s="13" t="s">
        <v>1</v>
      </c>
      <c r="B26" s="39">
        <f>(28514.28-378.92+313.26+16.61)*(2/3)</f>
        <v>18976.82</v>
      </c>
      <c r="C26" s="39">
        <f>(28514.28-378.92+313.26+16.61)*(1/3)</f>
        <v>9488.41</v>
      </c>
      <c r="D26" s="15">
        <f t="shared" ref="D26:D36" si="2">SUM(B26:C26)</f>
        <v>28465.23</v>
      </c>
    </row>
    <row r="27" spans="1:4" x14ac:dyDescent="0.2">
      <c r="A27" s="13" t="s">
        <v>2</v>
      </c>
      <c r="B27" s="39">
        <v>14567.046666666665</v>
      </c>
      <c r="C27" s="39">
        <v>7283.5233333333326</v>
      </c>
      <c r="D27" s="15">
        <f t="shared" si="2"/>
        <v>21850.57</v>
      </c>
    </row>
    <row r="28" spans="1:4" x14ac:dyDescent="0.2">
      <c r="A28" s="13" t="s">
        <v>3</v>
      </c>
      <c r="B28" s="39">
        <v>13375.053333333331</v>
      </c>
      <c r="C28" s="39">
        <v>6687.5266666666657</v>
      </c>
      <c r="D28" s="15">
        <f t="shared" si="2"/>
        <v>20062.579999999998</v>
      </c>
    </row>
    <row r="29" spans="1:4" x14ac:dyDescent="0.2">
      <c r="A29" s="13" t="s">
        <v>4</v>
      </c>
      <c r="B29" s="39">
        <v>10543.06</v>
      </c>
      <c r="C29" s="39">
        <v>5271.53</v>
      </c>
      <c r="D29" s="15">
        <f t="shared" si="2"/>
        <v>15814.59</v>
      </c>
    </row>
    <row r="30" spans="1:4" x14ac:dyDescent="0.2">
      <c r="A30" s="13" t="s">
        <v>5</v>
      </c>
      <c r="B30" s="39">
        <f>32385.42*(2/3)</f>
        <v>21590.28</v>
      </c>
      <c r="C30" s="39">
        <f>32385.42*(1/3)</f>
        <v>10795.14</v>
      </c>
      <c r="D30" s="15">
        <f t="shared" si="2"/>
        <v>32385.42</v>
      </c>
    </row>
    <row r="31" spans="1:4" x14ac:dyDescent="0.2">
      <c r="A31" s="13" t="s">
        <v>6</v>
      </c>
      <c r="B31" s="39">
        <f>26343.85*(2/3)</f>
        <v>17562.566666666666</v>
      </c>
      <c r="C31" s="39">
        <f>26343.85*(1/3)</f>
        <v>8781.2833333333328</v>
      </c>
      <c r="D31" s="15">
        <f t="shared" si="2"/>
        <v>26343.85</v>
      </c>
    </row>
    <row r="32" spans="1:4" x14ac:dyDescent="0.2">
      <c r="A32" s="13" t="s">
        <v>7</v>
      </c>
      <c r="B32" s="39">
        <f>32837.85*(2/3)</f>
        <v>21891.899999999998</v>
      </c>
      <c r="C32" s="39">
        <f>32837.85*(1/3)</f>
        <v>10945.949999999999</v>
      </c>
      <c r="D32" s="15">
        <f t="shared" si="2"/>
        <v>32837.85</v>
      </c>
    </row>
    <row r="33" spans="1:4" x14ac:dyDescent="0.2">
      <c r="A33" s="13" t="s">
        <v>8</v>
      </c>
      <c r="B33" s="39">
        <f>37992.35*(2/3)</f>
        <v>25328.23333333333</v>
      </c>
      <c r="C33" s="39">
        <f>37992.35*(1/3)</f>
        <v>12664.116666666665</v>
      </c>
      <c r="D33" s="15">
        <f t="shared" si="2"/>
        <v>37992.349999999991</v>
      </c>
    </row>
    <row r="34" spans="1:4" x14ac:dyDescent="0.2">
      <c r="A34" s="13" t="s">
        <v>9</v>
      </c>
      <c r="B34" s="39">
        <f>40122.66*(2/3)</f>
        <v>26748.440000000002</v>
      </c>
      <c r="C34" s="39">
        <f>40122.66*(1/3)</f>
        <v>13374.220000000001</v>
      </c>
      <c r="D34" s="15">
        <f t="shared" si="2"/>
        <v>40122.660000000003</v>
      </c>
    </row>
    <row r="35" spans="1:4" x14ac:dyDescent="0.2">
      <c r="A35" s="13" t="s">
        <v>10</v>
      </c>
      <c r="B35" s="39">
        <f>29873.87*(2/3)</f>
        <v>19915.91333333333</v>
      </c>
      <c r="C35" s="39">
        <f>29873.87*(1/3)</f>
        <v>9957.9566666666651</v>
      </c>
      <c r="D35" s="15">
        <f t="shared" si="2"/>
        <v>29873.869999999995</v>
      </c>
    </row>
    <row r="36" spans="1:4" x14ac:dyDescent="0.2">
      <c r="A36" s="13" t="s">
        <v>11</v>
      </c>
      <c r="B36" s="39">
        <f>23903.21*(2/3)</f>
        <v>15935.473333333332</v>
      </c>
      <c r="C36" s="39">
        <f>23903.21*(1/3)</f>
        <v>7967.7366666666658</v>
      </c>
      <c r="D36" s="15">
        <f t="shared" si="2"/>
        <v>23903.21</v>
      </c>
    </row>
    <row r="37" spans="1:4" ht="15" thickBot="1" x14ac:dyDescent="0.25">
      <c r="A37" s="18" t="s">
        <v>54</v>
      </c>
      <c r="B37" s="19">
        <f t="shared" ref="B37:D37" si="3">SUM(B25:B36)</f>
        <v>225769.98666666666</v>
      </c>
      <c r="C37" s="19">
        <f t="shared" si="3"/>
        <v>112884.99333333333</v>
      </c>
      <c r="D37" s="19">
        <f t="shared" si="3"/>
        <v>338654.98000000004</v>
      </c>
    </row>
    <row r="38" spans="1:4" ht="15" thickTop="1" x14ac:dyDescent="0.2"/>
    <row r="39" spans="1:4" ht="15" x14ac:dyDescent="0.25">
      <c r="A39" s="10"/>
      <c r="B39" s="11">
        <v>0.02</v>
      </c>
      <c r="C39" s="11">
        <v>0.03</v>
      </c>
      <c r="D39" s="12"/>
    </row>
    <row r="40" spans="1:4" x14ac:dyDescent="0.2">
      <c r="A40" s="13"/>
      <c r="B40" s="35" t="s">
        <v>56</v>
      </c>
      <c r="C40" s="35" t="s">
        <v>57</v>
      </c>
      <c r="D40" s="35" t="s">
        <v>58</v>
      </c>
    </row>
    <row r="41" spans="1:4" x14ac:dyDescent="0.2">
      <c r="A41" s="13" t="s">
        <v>0</v>
      </c>
      <c r="B41" s="39">
        <f>26948.37*(2/3)</f>
        <v>17965.579999999998</v>
      </c>
      <c r="C41" s="39">
        <f>26948.37*(1/3)</f>
        <v>8982.7899999999991</v>
      </c>
      <c r="D41" s="15">
        <f>SUM(B41:C41)</f>
        <v>26948.369999999995</v>
      </c>
    </row>
    <row r="42" spans="1:4" x14ac:dyDescent="0.2">
      <c r="A42" s="13" t="s">
        <v>1</v>
      </c>
      <c r="B42" s="39">
        <f>(21499.56)*(2/3)</f>
        <v>14333.04</v>
      </c>
      <c r="C42" s="39">
        <f>(21499.56)*(1/3)</f>
        <v>7166.52</v>
      </c>
      <c r="D42" s="15">
        <f t="shared" ref="D42:D52" si="4">SUM(B42:C42)</f>
        <v>21499.56</v>
      </c>
    </row>
    <row r="43" spans="1:4" x14ac:dyDescent="0.2">
      <c r="A43" s="13" t="s">
        <v>2</v>
      </c>
      <c r="B43" s="39">
        <f>19980.16*(2/3)</f>
        <v>13320.106666666667</v>
      </c>
      <c r="C43" s="39">
        <f>19980.16*(1/3)</f>
        <v>6660.0533333333333</v>
      </c>
      <c r="D43" s="15">
        <f t="shared" si="4"/>
        <v>19980.16</v>
      </c>
    </row>
    <row r="44" spans="1:4" x14ac:dyDescent="0.2">
      <c r="A44" s="13" t="s">
        <v>3</v>
      </c>
      <c r="B44" s="39">
        <f>22400.07*(2/3)</f>
        <v>14933.38</v>
      </c>
      <c r="C44" s="39">
        <f>22400.07*(1/3)</f>
        <v>7466.69</v>
      </c>
      <c r="D44" s="15">
        <f t="shared" si="4"/>
        <v>22400.07</v>
      </c>
    </row>
    <row r="45" spans="1:4" x14ac:dyDescent="0.2">
      <c r="A45" s="13" t="s">
        <v>4</v>
      </c>
      <c r="B45" s="39">
        <f>25398.16*(2/3)</f>
        <v>16932.106666666667</v>
      </c>
      <c r="C45" s="39">
        <f>25398.16*(1/3)</f>
        <v>8466.0533333333333</v>
      </c>
      <c r="D45" s="15">
        <f t="shared" si="4"/>
        <v>25398.16</v>
      </c>
    </row>
    <row r="46" spans="1:4" x14ac:dyDescent="0.2">
      <c r="A46" s="13" t="s">
        <v>5</v>
      </c>
      <c r="B46" s="39"/>
      <c r="C46" s="39"/>
      <c r="D46" s="15">
        <f t="shared" si="4"/>
        <v>0</v>
      </c>
    </row>
    <row r="47" spans="1:4" x14ac:dyDescent="0.2">
      <c r="A47" s="13" t="s">
        <v>6</v>
      </c>
      <c r="B47" s="39"/>
      <c r="C47" s="39"/>
      <c r="D47" s="15">
        <f t="shared" si="4"/>
        <v>0</v>
      </c>
    </row>
    <row r="48" spans="1:4" x14ac:dyDescent="0.2">
      <c r="A48" s="13" t="s">
        <v>7</v>
      </c>
      <c r="B48" s="39"/>
      <c r="C48" s="39"/>
      <c r="D48" s="15">
        <f t="shared" si="4"/>
        <v>0</v>
      </c>
    </row>
    <row r="49" spans="1:4" x14ac:dyDescent="0.2">
      <c r="A49" s="13" t="s">
        <v>8</v>
      </c>
      <c r="B49" s="39"/>
      <c r="C49" s="39"/>
      <c r="D49" s="15">
        <f t="shared" si="4"/>
        <v>0</v>
      </c>
    </row>
    <row r="50" spans="1:4" x14ac:dyDescent="0.2">
      <c r="A50" s="13" t="s">
        <v>9</v>
      </c>
      <c r="B50" s="39"/>
      <c r="C50" s="39"/>
      <c r="D50" s="15">
        <f t="shared" si="4"/>
        <v>0</v>
      </c>
    </row>
    <row r="51" spans="1:4" x14ac:dyDescent="0.2">
      <c r="A51" s="13" t="s">
        <v>10</v>
      </c>
      <c r="B51" s="39"/>
      <c r="C51" s="39"/>
      <c r="D51" s="15">
        <f t="shared" si="4"/>
        <v>0</v>
      </c>
    </row>
    <row r="52" spans="1:4" x14ac:dyDescent="0.2">
      <c r="A52" s="13" t="s">
        <v>11</v>
      </c>
      <c r="B52" s="39"/>
      <c r="C52" s="39"/>
      <c r="D52" s="15">
        <f t="shared" si="4"/>
        <v>0</v>
      </c>
    </row>
    <row r="53" spans="1:4" ht="15" thickBot="1" x14ac:dyDescent="0.25">
      <c r="A53" s="18" t="s">
        <v>58</v>
      </c>
      <c r="B53" s="19">
        <f t="shared" ref="B53:D53" si="5">SUM(B41:B52)</f>
        <v>77484.213333333333</v>
      </c>
      <c r="C53" s="19">
        <f t="shared" si="5"/>
        <v>38742.106666666667</v>
      </c>
      <c r="D53" s="19">
        <f t="shared" si="5"/>
        <v>116226.32</v>
      </c>
    </row>
    <row r="54" spans="1:4" ht="15" thickTop="1" x14ac:dyDescent="0.2"/>
  </sheetData>
  <sheetProtection algorithmName="SHA-512" hashValue="KbHwarMdIUGjzSFEvTB3m+mN9Mf2Pp6cbnIhuaZjukngORK8zNHI12f9ZPYAD3fR67oA2E79YLSYQmropriuvA==" saltValue="PvNMkHnwK6T/MuAarNdG9A==" spinCount="100000" sheet="1" objects="1" scenarios="1"/>
  <pageMargins left="0.7" right="0.7" top="0.75" bottom="0.75" header="0.3" footer="0.3"/>
  <pageSetup orientation="portrait" r:id="rId1"/>
  <headerFooter alignWithMargins="0"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opLeftCell="A41" zoomScaleNormal="100" workbookViewId="0">
      <selection activeCell="E54" sqref="E54"/>
    </sheetView>
  </sheetViews>
  <sheetFormatPr defaultColWidth="9.140625" defaultRowHeight="14.25" x14ac:dyDescent="0.2"/>
  <cols>
    <col min="1" max="1" width="14.42578125" style="6" customWidth="1"/>
    <col min="2" max="2" width="16.28515625" style="7" customWidth="1"/>
    <col min="3" max="3" width="16.7109375" style="7" bestFit="1" customWidth="1"/>
    <col min="4" max="4" width="17.5703125" style="8" bestFit="1" customWidth="1"/>
    <col min="5" max="5" width="17.28515625" style="8" bestFit="1" customWidth="1"/>
    <col min="6" max="6" width="16.5703125" style="8" customWidth="1"/>
    <col min="7" max="16384" width="9.140625" style="8"/>
  </cols>
  <sheetData>
    <row r="1" spans="1:5" x14ac:dyDescent="0.2">
      <c r="A1" s="6" t="s">
        <v>12</v>
      </c>
    </row>
    <row r="2" spans="1:5" x14ac:dyDescent="0.2">
      <c r="A2" s="6" t="s">
        <v>34</v>
      </c>
    </row>
    <row r="3" spans="1:5" ht="15" x14ac:dyDescent="0.25">
      <c r="A3" s="9" t="s">
        <v>39</v>
      </c>
    </row>
    <row r="5" spans="1:5" ht="14.25" customHeight="1" x14ac:dyDescent="0.25">
      <c r="A5" s="38" t="s">
        <v>38</v>
      </c>
      <c r="B5" s="37"/>
      <c r="C5" s="37"/>
    </row>
    <row r="7" spans="1:5" ht="15" x14ac:dyDescent="0.25">
      <c r="A7" s="10"/>
      <c r="B7" s="11" t="s">
        <v>42</v>
      </c>
      <c r="C7" s="12"/>
    </row>
    <row r="8" spans="1:5" ht="15.75" customHeight="1" x14ac:dyDescent="0.2">
      <c r="A8" s="13"/>
      <c r="B8" s="35" t="s">
        <v>31</v>
      </c>
      <c r="C8" s="35" t="s">
        <v>32</v>
      </c>
    </row>
    <row r="9" spans="1:5" x14ac:dyDescent="0.2">
      <c r="A9" s="13" t="s">
        <v>0</v>
      </c>
      <c r="B9" s="14">
        <v>0</v>
      </c>
      <c r="C9" s="15">
        <f t="shared" ref="C9:C20" si="0">SUM(B9:B9)</f>
        <v>0</v>
      </c>
    </row>
    <row r="10" spans="1:5" x14ac:dyDescent="0.2">
      <c r="A10" s="13" t="s">
        <v>1</v>
      </c>
      <c r="B10" s="14">
        <v>0</v>
      </c>
      <c r="C10" s="15">
        <f t="shared" si="0"/>
        <v>0</v>
      </c>
    </row>
    <row r="11" spans="1:5" x14ac:dyDescent="0.2">
      <c r="A11" s="13" t="s">
        <v>2</v>
      </c>
      <c r="B11" s="14">
        <v>0</v>
      </c>
      <c r="C11" s="15">
        <f t="shared" si="0"/>
        <v>0</v>
      </c>
    </row>
    <row r="12" spans="1:5" x14ac:dyDescent="0.2">
      <c r="A12" s="13" t="s">
        <v>3</v>
      </c>
      <c r="B12" s="14">
        <v>0</v>
      </c>
      <c r="C12" s="15">
        <f t="shared" si="0"/>
        <v>0</v>
      </c>
    </row>
    <row r="13" spans="1:5" x14ac:dyDescent="0.2">
      <c r="A13" s="13" t="s">
        <v>4</v>
      </c>
      <c r="B13" s="14">
        <v>0</v>
      </c>
      <c r="C13" s="15">
        <f t="shared" si="0"/>
        <v>0</v>
      </c>
      <c r="D13" s="16"/>
      <c r="E13" s="17"/>
    </row>
    <row r="14" spans="1:5" x14ac:dyDescent="0.2">
      <c r="A14" s="13" t="s">
        <v>5</v>
      </c>
      <c r="B14" s="14">
        <v>21225.67</v>
      </c>
      <c r="C14" s="15">
        <f t="shared" si="0"/>
        <v>21225.67</v>
      </c>
    </row>
    <row r="15" spans="1:5" x14ac:dyDescent="0.2">
      <c r="A15" s="13" t="s">
        <v>6</v>
      </c>
      <c r="B15" s="39">
        <v>23823.98</v>
      </c>
      <c r="C15" s="15">
        <f t="shared" si="0"/>
        <v>23823.98</v>
      </c>
    </row>
    <row r="16" spans="1:5" x14ac:dyDescent="0.2">
      <c r="A16" s="13" t="s">
        <v>7</v>
      </c>
      <c r="B16" s="14">
        <v>32522.77</v>
      </c>
      <c r="C16" s="15">
        <f t="shared" si="0"/>
        <v>32522.77</v>
      </c>
    </row>
    <row r="17" spans="1:5" x14ac:dyDescent="0.2">
      <c r="A17" s="13" t="s">
        <v>8</v>
      </c>
      <c r="B17" s="39">
        <v>40505.74</v>
      </c>
      <c r="C17" s="15">
        <f t="shared" si="0"/>
        <v>40505.74</v>
      </c>
    </row>
    <row r="18" spans="1:5" x14ac:dyDescent="0.2">
      <c r="A18" s="13" t="s">
        <v>9</v>
      </c>
      <c r="B18" s="39">
        <v>45893.19</v>
      </c>
      <c r="C18" s="15">
        <f t="shared" si="0"/>
        <v>45893.19</v>
      </c>
    </row>
    <row r="19" spans="1:5" x14ac:dyDescent="0.2">
      <c r="A19" s="13" t="s">
        <v>10</v>
      </c>
      <c r="B19" s="14">
        <v>25293.29</v>
      </c>
      <c r="C19" s="15">
        <f t="shared" si="0"/>
        <v>25293.29</v>
      </c>
    </row>
    <row r="20" spans="1:5" x14ac:dyDescent="0.2">
      <c r="A20" s="13" t="s">
        <v>11</v>
      </c>
      <c r="B20" s="39">
        <v>22414.69</v>
      </c>
      <c r="C20" s="15">
        <f t="shared" si="0"/>
        <v>22414.69</v>
      </c>
    </row>
    <row r="21" spans="1:5" ht="15" thickBot="1" x14ac:dyDescent="0.25">
      <c r="A21" s="18" t="s">
        <v>32</v>
      </c>
      <c r="B21" s="19">
        <f t="shared" ref="B21:C21" si="1">SUM(B9:B20)</f>
        <v>211679.33000000002</v>
      </c>
      <c r="C21" s="19">
        <f t="shared" si="1"/>
        <v>211679.33000000002</v>
      </c>
      <c r="D21" s="16"/>
      <c r="E21" s="17"/>
    </row>
    <row r="22" spans="1:5" ht="15" thickTop="1" x14ac:dyDescent="0.2"/>
    <row r="23" spans="1:5" ht="15" x14ac:dyDescent="0.25">
      <c r="A23" s="10"/>
      <c r="B23" s="11" t="s">
        <v>42</v>
      </c>
      <c r="C23" s="12"/>
    </row>
    <row r="24" spans="1:5" x14ac:dyDescent="0.2">
      <c r="A24" s="13"/>
      <c r="B24" s="35" t="s">
        <v>37</v>
      </c>
      <c r="C24" s="35" t="s">
        <v>41</v>
      </c>
    </row>
    <row r="25" spans="1:5" x14ac:dyDescent="0.2">
      <c r="A25" s="13" t="s">
        <v>0</v>
      </c>
      <c r="B25" s="39">
        <v>18275.259999999998</v>
      </c>
      <c r="C25" s="15">
        <f t="shared" ref="C25:C36" si="2">SUM(B25:B25)</f>
        <v>18275.259999999998</v>
      </c>
    </row>
    <row r="26" spans="1:5" x14ac:dyDescent="0.2">
      <c r="A26" s="13" t="s">
        <v>1</v>
      </c>
      <c r="B26" s="39">
        <v>16309.92</v>
      </c>
      <c r="C26" s="15">
        <f t="shared" si="2"/>
        <v>16309.92</v>
      </c>
    </row>
    <row r="27" spans="1:5" x14ac:dyDescent="0.2">
      <c r="A27" s="13" t="s">
        <v>2</v>
      </c>
      <c r="B27" s="39">
        <v>14816.91</v>
      </c>
      <c r="C27" s="15">
        <f t="shared" si="2"/>
        <v>14816.91</v>
      </c>
    </row>
    <row r="28" spans="1:5" x14ac:dyDescent="0.2">
      <c r="A28" s="13" t="s">
        <v>3</v>
      </c>
      <c r="B28" s="39">
        <v>16302.87</v>
      </c>
      <c r="C28" s="15">
        <f t="shared" si="2"/>
        <v>16302.87</v>
      </c>
    </row>
    <row r="29" spans="1:5" x14ac:dyDescent="0.2">
      <c r="A29" s="13" t="s">
        <v>4</v>
      </c>
      <c r="B29" s="39">
        <v>19366.84</v>
      </c>
      <c r="C29" s="15">
        <f t="shared" si="2"/>
        <v>19366.84</v>
      </c>
    </row>
    <row r="30" spans="1:5" x14ac:dyDescent="0.2">
      <c r="A30" s="13" t="s">
        <v>5</v>
      </c>
      <c r="B30" s="39">
        <v>21921.34</v>
      </c>
      <c r="C30" s="15">
        <f t="shared" si="2"/>
        <v>21921.34</v>
      </c>
    </row>
    <row r="31" spans="1:5" x14ac:dyDescent="0.2">
      <c r="A31" s="13" t="s">
        <v>6</v>
      </c>
      <c r="B31" s="14">
        <v>26581.7</v>
      </c>
      <c r="C31" s="15">
        <f t="shared" si="2"/>
        <v>26581.7</v>
      </c>
    </row>
    <row r="32" spans="1:5" x14ac:dyDescent="0.2">
      <c r="A32" s="13" t="s">
        <v>7</v>
      </c>
      <c r="B32" s="14">
        <v>23772.45</v>
      </c>
      <c r="C32" s="15">
        <f t="shared" si="2"/>
        <v>23772.45</v>
      </c>
    </row>
    <row r="33" spans="1:3" x14ac:dyDescent="0.2">
      <c r="A33" s="13" t="s">
        <v>8</v>
      </c>
      <c r="B33" s="14">
        <v>30321.69</v>
      </c>
      <c r="C33" s="15">
        <f t="shared" si="2"/>
        <v>30321.69</v>
      </c>
    </row>
    <row r="34" spans="1:3" x14ac:dyDescent="0.2">
      <c r="A34" s="13" t="s">
        <v>9</v>
      </c>
      <c r="B34" s="14">
        <v>33087.379999999997</v>
      </c>
      <c r="C34" s="15">
        <f t="shared" si="2"/>
        <v>33087.379999999997</v>
      </c>
    </row>
    <row r="35" spans="1:3" x14ac:dyDescent="0.2">
      <c r="A35" s="13" t="s">
        <v>10</v>
      </c>
      <c r="B35" s="14">
        <v>22673.58</v>
      </c>
      <c r="C35" s="15">
        <f t="shared" si="2"/>
        <v>22673.58</v>
      </c>
    </row>
    <row r="36" spans="1:3" x14ac:dyDescent="0.2">
      <c r="A36" s="13" t="s">
        <v>11</v>
      </c>
      <c r="B36" s="39">
        <v>18407.580000000002</v>
      </c>
      <c r="C36" s="15">
        <f t="shared" si="2"/>
        <v>18407.580000000002</v>
      </c>
    </row>
    <row r="37" spans="1:3" ht="15" thickBot="1" x14ac:dyDescent="0.25">
      <c r="A37" s="18" t="s">
        <v>41</v>
      </c>
      <c r="B37" s="19">
        <f t="shared" ref="B37:C37" si="3">SUM(B25:B36)</f>
        <v>261837.52000000002</v>
      </c>
      <c r="C37" s="19">
        <f t="shared" si="3"/>
        <v>261837.52000000002</v>
      </c>
    </row>
    <row r="38" spans="1:3" ht="15" thickTop="1" x14ac:dyDescent="0.2"/>
    <row r="39" spans="1:3" ht="15" x14ac:dyDescent="0.25">
      <c r="A39" s="10"/>
      <c r="B39" s="11" t="s">
        <v>42</v>
      </c>
      <c r="C39" s="12"/>
    </row>
    <row r="40" spans="1:3" x14ac:dyDescent="0.2">
      <c r="A40" s="13"/>
      <c r="B40" s="35" t="s">
        <v>44</v>
      </c>
      <c r="C40" s="35" t="s">
        <v>45</v>
      </c>
    </row>
    <row r="41" spans="1:3" x14ac:dyDescent="0.2">
      <c r="A41" s="13" t="s">
        <v>0</v>
      </c>
      <c r="B41" s="39">
        <v>18372.509999999998</v>
      </c>
      <c r="C41" s="15">
        <f t="shared" ref="C41:C52" si="4">SUM(B41:B41)</f>
        <v>18372.509999999998</v>
      </c>
    </row>
    <row r="42" spans="1:3" x14ac:dyDescent="0.2">
      <c r="A42" s="13" t="s">
        <v>1</v>
      </c>
      <c r="B42" s="39">
        <v>21965.200000000001</v>
      </c>
      <c r="C42" s="15">
        <f t="shared" si="4"/>
        <v>21965.200000000001</v>
      </c>
    </row>
    <row r="43" spans="1:3" x14ac:dyDescent="0.2">
      <c r="A43" s="13" t="s">
        <v>2</v>
      </c>
      <c r="B43" s="39">
        <v>17394.87</v>
      </c>
      <c r="C43" s="15">
        <f t="shared" si="4"/>
        <v>17394.87</v>
      </c>
    </row>
    <row r="44" spans="1:3" x14ac:dyDescent="0.2">
      <c r="A44" s="13" t="s">
        <v>3</v>
      </c>
      <c r="B44" s="39">
        <v>17537.87</v>
      </c>
      <c r="C44" s="15">
        <f t="shared" si="4"/>
        <v>17537.87</v>
      </c>
    </row>
    <row r="45" spans="1:3" x14ac:dyDescent="0.2">
      <c r="A45" s="13" t="s">
        <v>4</v>
      </c>
      <c r="B45" s="39">
        <v>19945.990000000002</v>
      </c>
      <c r="C45" s="15">
        <f t="shared" si="4"/>
        <v>19945.990000000002</v>
      </c>
    </row>
    <row r="46" spans="1:3" x14ac:dyDescent="0.2">
      <c r="A46" s="13" t="s">
        <v>5</v>
      </c>
      <c r="B46" s="39">
        <v>27698.97</v>
      </c>
      <c r="C46" s="15">
        <f t="shared" si="4"/>
        <v>27698.97</v>
      </c>
    </row>
    <row r="47" spans="1:3" x14ac:dyDescent="0.2">
      <c r="A47" s="13" t="s">
        <v>6</v>
      </c>
      <c r="B47" s="14">
        <v>21425.47</v>
      </c>
      <c r="C47" s="15">
        <f t="shared" si="4"/>
        <v>21425.47</v>
      </c>
    </row>
    <row r="48" spans="1:3" x14ac:dyDescent="0.2">
      <c r="A48" s="13" t="s">
        <v>7</v>
      </c>
      <c r="B48" s="14">
        <v>25822.639999999999</v>
      </c>
      <c r="C48" s="15">
        <f t="shared" si="4"/>
        <v>25822.639999999999</v>
      </c>
    </row>
    <row r="49" spans="1:3" x14ac:dyDescent="0.2">
      <c r="A49" s="13" t="s">
        <v>8</v>
      </c>
      <c r="B49" s="14">
        <v>28449.47</v>
      </c>
      <c r="C49" s="15">
        <f t="shared" si="4"/>
        <v>28449.47</v>
      </c>
    </row>
    <row r="50" spans="1:3" x14ac:dyDescent="0.2">
      <c r="A50" s="13" t="s">
        <v>9</v>
      </c>
      <c r="B50" s="14">
        <v>29818.43</v>
      </c>
      <c r="C50" s="15">
        <f t="shared" si="4"/>
        <v>29818.43</v>
      </c>
    </row>
    <row r="51" spans="1:3" x14ac:dyDescent="0.2">
      <c r="A51" s="13" t="s">
        <v>10</v>
      </c>
      <c r="B51" s="14">
        <v>19917.45</v>
      </c>
      <c r="C51" s="15">
        <f t="shared" si="4"/>
        <v>19917.45</v>
      </c>
    </row>
    <row r="52" spans="1:3" x14ac:dyDescent="0.2">
      <c r="A52" s="13" t="s">
        <v>11</v>
      </c>
      <c r="B52" s="39">
        <v>19000.03</v>
      </c>
      <c r="C52" s="15">
        <f t="shared" si="4"/>
        <v>19000.03</v>
      </c>
    </row>
    <row r="53" spans="1:3" ht="15" thickBot="1" x14ac:dyDescent="0.25">
      <c r="A53" s="18" t="s">
        <v>45</v>
      </c>
      <c r="B53" s="19">
        <f t="shared" ref="B53:C53" si="5">SUM(B41:B52)</f>
        <v>267348.90000000002</v>
      </c>
      <c r="C53" s="19">
        <f t="shared" si="5"/>
        <v>267348.90000000002</v>
      </c>
    </row>
    <row r="54" spans="1:3" ht="15" thickTop="1" x14ac:dyDescent="0.2"/>
  </sheetData>
  <sheetProtection algorithmName="SHA-512" hashValue="HIBvqHG92jmqdldFN+v/DyRytNAUxhO56AAg1mxA6/PDXrhcBHmPIwl8MPuqAOJpD0iS1SbFKQicmAmbcDtrVw==" saltValue="NMg1dr0H+2cfTAKYIcV3Fw==" spinCount="100000" sheet="1" objects="1" scenarios="1"/>
  <pageMargins left="0.7" right="0.7" top="0.75" bottom="0.75" header="0.3" footer="0.3"/>
  <pageSetup orientation="portrait" r:id="rId1"/>
  <headerFooter alignWithMargins="0"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NW FYTD YOY @ 2%</vt:lpstr>
      <vt:lpstr>FY2024-Present - 3% NW TDT</vt:lpstr>
      <vt:lpstr>FY2021-FY2023 - 2% NW TDT</vt:lpstr>
      <vt:lpstr>'FY2021-FY2023 - 2% NW TDT'!Print_Titles</vt:lpstr>
      <vt:lpstr>'FY2024-Present - 3% NW TDT'!Print_Titles</vt:lpstr>
    </vt:vector>
  </TitlesOfParts>
  <Company>South Walton Annex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Sunday</dc:creator>
  <cp:lastModifiedBy>Tori Waters</cp:lastModifiedBy>
  <cp:lastPrinted>2014-08-01T19:18:47Z</cp:lastPrinted>
  <dcterms:created xsi:type="dcterms:W3CDTF">1999-11-30T22:09:53Z</dcterms:created>
  <dcterms:modified xsi:type="dcterms:W3CDTF">2026-04-15T18:13:48Z</dcterms:modified>
</cp:coreProperties>
</file>