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lerk of Courts\Courthouse\TDT\REPORTS\History Spreadsheets\"/>
    </mc:Choice>
  </mc:AlternateContent>
  <xr:revisionPtr revIDLastSave="0" documentId="13_ncr:1_{59C1F6D0-9911-4DC1-8A32-0193EAD6D3AA}" xr6:coauthVersionLast="47" xr6:coauthVersionMax="47" xr10:uidLastSave="{00000000-0000-0000-0000-000000000000}"/>
  <bookViews>
    <workbookView xWindow="-110" yWindow="-110" windowWidth="22780" windowHeight="14540" tabRatio="907" activeTab="1" xr2:uid="{00000000-000D-0000-FFFF-FFFF00000000}"/>
  </bookViews>
  <sheets>
    <sheet name="SW FYTD YOY @ 2%" sheetId="8" r:id="rId1"/>
    <sheet name="FY2020-Present - 5% SW TDT" sheetId="5" r:id="rId2"/>
    <sheet name="FY2015-2019 - 4% SW TDT" sheetId="1" r:id="rId3"/>
    <sheet name="FY2010-2014 - 4.5% SW TDT" sheetId="4" r:id="rId4"/>
    <sheet name="FY2004-2009 - 4% SW TDT" sheetId="3" r:id="rId5"/>
    <sheet name="FY1999-2003 - 3% SW TDT" sheetId="2" r:id="rId6"/>
  </sheets>
  <definedNames>
    <definedName name="_xlnm.Print_Titles" localSheetId="5">'FY1999-2003 - 3% SW TDT'!$1:$5</definedName>
    <definedName name="_xlnm.Print_Titles" localSheetId="4">'FY2004-2009 - 4% SW TDT'!$1:$5</definedName>
    <definedName name="_xlnm.Print_Titles" localSheetId="3">'FY2010-2014 - 4.5% SW TDT'!$1:$5</definedName>
    <definedName name="_xlnm.Print_Titles" localSheetId="2">'FY2015-2019 - 4% SW TDT'!$1:$5</definedName>
    <definedName name="_xlnm.Print_Titles" localSheetId="1">'FY2020-Present - 5% SW TDT'!$1:$5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9" i="5" l="1"/>
  <c r="D109" i="5"/>
  <c r="C109" i="5"/>
  <c r="C118" i="5" s="1"/>
  <c r="B109" i="5"/>
  <c r="F108" i="5"/>
  <c r="D108" i="5"/>
  <c r="C108" i="5"/>
  <c r="B108" i="5"/>
  <c r="E37" i="8"/>
  <c r="F37" i="8" s="1"/>
  <c r="D107" i="5"/>
  <c r="C107" i="5"/>
  <c r="B107" i="5"/>
  <c r="AD73" i="8" s="1"/>
  <c r="D68" i="8" s="1"/>
  <c r="B92" i="8"/>
  <c r="B87" i="8"/>
  <c r="D37" i="8"/>
  <c r="D36" i="8"/>
  <c r="C37" i="8"/>
  <c r="C36" i="8"/>
  <c r="N68" i="8"/>
  <c r="M68" i="8"/>
  <c r="L68" i="8"/>
  <c r="K68" i="8"/>
  <c r="J68" i="8"/>
  <c r="I68" i="8"/>
  <c r="H68" i="8"/>
  <c r="G68" i="8"/>
  <c r="F68" i="8"/>
  <c r="C68" i="8"/>
  <c r="AD74" i="8"/>
  <c r="E68" i="8" s="1"/>
  <c r="AD75" i="8"/>
  <c r="AD76" i="8"/>
  <c r="AD77" i="8"/>
  <c r="AD78" i="8"/>
  <c r="AD79" i="8"/>
  <c r="AD80" i="8"/>
  <c r="AD81" i="8"/>
  <c r="AD82" i="8"/>
  <c r="AD83" i="8"/>
  <c r="AD72" i="8"/>
  <c r="F106" i="5"/>
  <c r="F118" i="5" s="1"/>
  <c r="D106" i="5"/>
  <c r="C106" i="5"/>
  <c r="B106" i="5"/>
  <c r="E118" i="5"/>
  <c r="G117" i="5"/>
  <c r="G116" i="5"/>
  <c r="G115" i="5"/>
  <c r="G114" i="5"/>
  <c r="G113" i="5"/>
  <c r="G112" i="5"/>
  <c r="G111" i="5"/>
  <c r="D118" i="5"/>
  <c r="G110" i="5"/>
  <c r="G109" i="5"/>
  <c r="G108" i="5"/>
  <c r="G106" i="5"/>
  <c r="F101" i="5"/>
  <c r="D101" i="5"/>
  <c r="C101" i="5"/>
  <c r="B101" i="5"/>
  <c r="U37" i="8" l="1"/>
  <c r="V37" i="8" s="1"/>
  <c r="M37" i="8"/>
  <c r="N37" i="8" s="1"/>
  <c r="S37" i="8"/>
  <c r="T37" i="8" s="1"/>
  <c r="K37" i="8"/>
  <c r="L37" i="8" s="1"/>
  <c r="Y37" i="8"/>
  <c r="Z37" i="8" s="1"/>
  <c r="Q37" i="8"/>
  <c r="R37" i="8" s="1"/>
  <c r="I37" i="8"/>
  <c r="J37" i="8" s="1"/>
  <c r="W37" i="8"/>
  <c r="X37" i="8" s="1"/>
  <c r="O37" i="8"/>
  <c r="P37" i="8" s="1"/>
  <c r="G37" i="8"/>
  <c r="H37" i="8" s="1"/>
  <c r="O68" i="8"/>
  <c r="B89" i="8" s="1"/>
  <c r="G107" i="5"/>
  <c r="AD84" i="8"/>
  <c r="G118" i="5"/>
  <c r="B94" i="8" s="1"/>
  <c r="B118" i="5"/>
  <c r="F100" i="5"/>
  <c r="D100" i="5"/>
  <c r="C100" i="5"/>
  <c r="B100" i="5"/>
  <c r="F99" i="5"/>
  <c r="D99" i="5"/>
  <c r="C99" i="5"/>
  <c r="B99" i="5"/>
  <c r="F98" i="5"/>
  <c r="D98" i="5"/>
  <c r="C98" i="5"/>
  <c r="B98" i="5"/>
  <c r="F97" i="5"/>
  <c r="D97" i="5"/>
  <c r="C97" i="5"/>
  <c r="B97" i="5"/>
  <c r="F96" i="5" l="1"/>
  <c r="D96" i="5"/>
  <c r="C96" i="5"/>
  <c r="B96" i="5"/>
  <c r="F95" i="5"/>
  <c r="D95" i="5"/>
  <c r="C95" i="5"/>
  <c r="B95" i="5"/>
  <c r="F94" i="5"/>
  <c r="D94" i="5"/>
  <c r="C94" i="5"/>
  <c r="B94" i="5"/>
  <c r="G93" i="5" l="1"/>
  <c r="F91" i="5"/>
  <c r="D91" i="5"/>
  <c r="C91" i="5"/>
  <c r="B91" i="5"/>
  <c r="AC73" i="8" l="1"/>
  <c r="D67" i="8" s="1"/>
  <c r="AC74" i="8"/>
  <c r="E67" i="8" s="1"/>
  <c r="AC75" i="8"/>
  <c r="F67" i="8" s="1"/>
  <c r="AC76" i="8"/>
  <c r="G67" i="8" s="1"/>
  <c r="AC77" i="8"/>
  <c r="H67" i="8" s="1"/>
  <c r="AC78" i="8"/>
  <c r="I67" i="8" s="1"/>
  <c r="AC79" i="8"/>
  <c r="J67" i="8" s="1"/>
  <c r="AC80" i="8"/>
  <c r="K67" i="8" s="1"/>
  <c r="AC81" i="8"/>
  <c r="L67" i="8" s="1"/>
  <c r="AC82" i="8"/>
  <c r="M67" i="8" s="1"/>
  <c r="AC83" i="8"/>
  <c r="N67" i="8" s="1"/>
  <c r="AC72" i="8"/>
  <c r="C67" i="8" s="1"/>
  <c r="E102" i="5"/>
  <c r="D102" i="5"/>
  <c r="B102" i="5"/>
  <c r="G101" i="5"/>
  <c r="G100" i="5"/>
  <c r="G99" i="5"/>
  <c r="G98" i="5"/>
  <c r="G97" i="5"/>
  <c r="G96" i="5"/>
  <c r="G95" i="5"/>
  <c r="G94" i="5"/>
  <c r="F102" i="5"/>
  <c r="C102" i="5"/>
  <c r="G92" i="5"/>
  <c r="G91" i="5"/>
  <c r="G90" i="5"/>
  <c r="B86" i="5"/>
  <c r="G83" i="5"/>
  <c r="AC84" i="8" l="1"/>
  <c r="O67" i="8"/>
  <c r="G102" i="5"/>
  <c r="F77" i="5"/>
  <c r="D77" i="5"/>
  <c r="C77" i="5"/>
  <c r="B77" i="5"/>
  <c r="AB73" i="8"/>
  <c r="D66" i="8" s="1"/>
  <c r="AB74" i="8"/>
  <c r="E66" i="8" s="1"/>
  <c r="AB75" i="8"/>
  <c r="F66" i="8" s="1"/>
  <c r="AB76" i="8"/>
  <c r="G66" i="8" s="1"/>
  <c r="AB77" i="8"/>
  <c r="H66" i="8" s="1"/>
  <c r="AB78" i="8"/>
  <c r="I66" i="8" s="1"/>
  <c r="AB79" i="8"/>
  <c r="J66" i="8" s="1"/>
  <c r="AB80" i="8"/>
  <c r="K66" i="8" s="1"/>
  <c r="AB81" i="8"/>
  <c r="L66" i="8" s="1"/>
  <c r="AB82" i="8"/>
  <c r="M66" i="8" s="1"/>
  <c r="AB83" i="8"/>
  <c r="N66" i="8" s="1"/>
  <c r="AB72" i="8"/>
  <c r="C66" i="8" s="1"/>
  <c r="F86" i="5"/>
  <c r="E86" i="5"/>
  <c r="D86" i="5"/>
  <c r="C86" i="5"/>
  <c r="G85" i="5"/>
  <c r="G84" i="5"/>
  <c r="G82" i="5"/>
  <c r="G81" i="5"/>
  <c r="G80" i="5"/>
  <c r="G79" i="5"/>
  <c r="G78" i="5"/>
  <c r="G77" i="5"/>
  <c r="G76" i="5"/>
  <c r="G75" i="5"/>
  <c r="G74" i="5"/>
  <c r="U36" i="8" l="1"/>
  <c r="K36" i="8"/>
  <c r="L36" i="8" s="1"/>
  <c r="S36" i="8"/>
  <c r="E36" i="8"/>
  <c r="F36" i="8" s="1"/>
  <c r="M36" i="8"/>
  <c r="G36" i="8"/>
  <c r="H36" i="8" s="1"/>
  <c r="O36" i="8"/>
  <c r="P36" i="8" s="1"/>
  <c r="W36" i="8"/>
  <c r="X36" i="8" s="1"/>
  <c r="I36" i="8"/>
  <c r="Q36" i="8"/>
  <c r="R36" i="8" s="1"/>
  <c r="Y36" i="8"/>
  <c r="Z36" i="8" s="1"/>
  <c r="V36" i="8"/>
  <c r="N36" i="8"/>
  <c r="J36" i="8"/>
  <c r="T36" i="8"/>
  <c r="O66" i="8"/>
  <c r="AB84" i="8"/>
  <c r="G86" i="5"/>
  <c r="B70" i="5"/>
  <c r="AA72" i="8"/>
  <c r="AA73" i="8"/>
  <c r="AA83" i="8"/>
  <c r="AA82" i="8"/>
  <c r="AA81" i="8"/>
  <c r="AA80" i="8"/>
  <c r="AA79" i="8"/>
  <c r="AA78" i="8"/>
  <c r="AA77" i="8"/>
  <c r="AA76" i="8"/>
  <c r="AA75" i="8"/>
  <c r="AA74" i="8"/>
  <c r="N65" i="8"/>
  <c r="M65" i="8"/>
  <c r="L65" i="8"/>
  <c r="K65" i="8"/>
  <c r="J65" i="8"/>
  <c r="I65" i="8"/>
  <c r="H65" i="8"/>
  <c r="G65" i="8"/>
  <c r="F65" i="8"/>
  <c r="E65" i="8"/>
  <c r="D65" i="8"/>
  <c r="C65" i="8"/>
  <c r="C35" i="8" s="1"/>
  <c r="Z83" i="8"/>
  <c r="Z82" i="8"/>
  <c r="Z81" i="8"/>
  <c r="Z80" i="8"/>
  <c r="Z79" i="8"/>
  <c r="Z78" i="8"/>
  <c r="Z77" i="8"/>
  <c r="Z76" i="8"/>
  <c r="Z75" i="8"/>
  <c r="Z74" i="8"/>
  <c r="Z73" i="8"/>
  <c r="Z72" i="8"/>
  <c r="Y83" i="8"/>
  <c r="Y82" i="8"/>
  <c r="Y81" i="8"/>
  <c r="Y80" i="8"/>
  <c r="Y79" i="8"/>
  <c r="Y78" i="8"/>
  <c r="Y77" i="8"/>
  <c r="Y76" i="8"/>
  <c r="Y75" i="8"/>
  <c r="Y74" i="8"/>
  <c r="Y73" i="8"/>
  <c r="Y72" i="8"/>
  <c r="E70" i="5"/>
  <c r="D70" i="5"/>
  <c r="G69" i="5"/>
  <c r="G68" i="5"/>
  <c r="G67" i="5"/>
  <c r="G66" i="5"/>
  <c r="G65" i="5"/>
  <c r="G64" i="5"/>
  <c r="F70" i="5"/>
  <c r="C70" i="5"/>
  <c r="G63" i="5"/>
  <c r="G62" i="5"/>
  <c r="G61" i="5"/>
  <c r="G60" i="5"/>
  <c r="G59" i="5"/>
  <c r="G58" i="5"/>
  <c r="F47" i="5"/>
  <c r="D47" i="5"/>
  <c r="C47" i="5"/>
  <c r="B47" i="5"/>
  <c r="G47" i="5" s="1"/>
  <c r="H75" i="8"/>
  <c r="N64" i="8"/>
  <c r="M64" i="8"/>
  <c r="L64" i="8"/>
  <c r="K64" i="8"/>
  <c r="J64" i="8"/>
  <c r="I64" i="8"/>
  <c r="H64" i="8"/>
  <c r="G64" i="8"/>
  <c r="F64" i="8"/>
  <c r="E64" i="8"/>
  <c r="D64" i="8"/>
  <c r="C64" i="8"/>
  <c r="F54" i="5"/>
  <c r="E54" i="5"/>
  <c r="D54" i="5"/>
  <c r="C54" i="5"/>
  <c r="B54" i="5"/>
  <c r="G53" i="5"/>
  <c r="G52" i="5"/>
  <c r="G51" i="5"/>
  <c r="G50" i="5"/>
  <c r="G49" i="5"/>
  <c r="G48" i="5"/>
  <c r="G46" i="5"/>
  <c r="G45" i="5"/>
  <c r="G44" i="5"/>
  <c r="G43" i="5"/>
  <c r="G42" i="5"/>
  <c r="B38" i="5"/>
  <c r="W35" i="8" l="1"/>
  <c r="O35" i="8"/>
  <c r="P35" i="8" s="1"/>
  <c r="G35" i="8"/>
  <c r="H35" i="8" s="1"/>
  <c r="Q35" i="8"/>
  <c r="R35" i="8" s="1"/>
  <c r="Y35" i="8"/>
  <c r="E35" i="8"/>
  <c r="F35" i="8" s="1"/>
  <c r="M35" i="8"/>
  <c r="N35" i="8" s="1"/>
  <c r="Z84" i="8"/>
  <c r="K35" i="8"/>
  <c r="L35" i="8" s="1"/>
  <c r="U35" i="8"/>
  <c r="V35" i="8" s="1"/>
  <c r="I35" i="8"/>
  <c r="S35" i="8"/>
  <c r="T35" i="8" s="1"/>
  <c r="G34" i="8"/>
  <c r="H34" i="8" s="1"/>
  <c r="Z35" i="8"/>
  <c r="J35" i="8"/>
  <c r="X35" i="8"/>
  <c r="D35" i="8"/>
  <c r="E34" i="8"/>
  <c r="I34" i="8"/>
  <c r="J34" i="8" s="1"/>
  <c r="Y34" i="8"/>
  <c r="Z34" i="8" s="1"/>
  <c r="C34" i="8"/>
  <c r="D34" i="8" s="1"/>
  <c r="K34" i="8"/>
  <c r="L34" i="8" s="1"/>
  <c r="O34" i="8"/>
  <c r="P34" i="8" s="1"/>
  <c r="S34" i="8"/>
  <c r="T34" i="8" s="1"/>
  <c r="W34" i="8"/>
  <c r="X34" i="8" s="1"/>
  <c r="F34" i="8"/>
  <c r="M34" i="8"/>
  <c r="N34" i="8" s="1"/>
  <c r="Q34" i="8"/>
  <c r="R34" i="8" s="1"/>
  <c r="U34" i="8"/>
  <c r="V34" i="8" s="1"/>
  <c r="O65" i="8"/>
  <c r="Y84" i="8"/>
  <c r="G70" i="5"/>
  <c r="O64" i="8"/>
  <c r="G54" i="5"/>
  <c r="N63" i="8" l="1"/>
  <c r="M63" i="8"/>
  <c r="L63" i="8"/>
  <c r="K63" i="8"/>
  <c r="J63" i="8"/>
  <c r="I63" i="8"/>
  <c r="H63" i="8"/>
  <c r="G63" i="8"/>
  <c r="F63" i="8"/>
  <c r="E63" i="8"/>
  <c r="D63" i="8"/>
  <c r="C63" i="8"/>
  <c r="E38" i="5"/>
  <c r="D38" i="5"/>
  <c r="G37" i="5"/>
  <c r="G36" i="5"/>
  <c r="G35" i="5"/>
  <c r="G34" i="5"/>
  <c r="G33" i="5"/>
  <c r="G32" i="5"/>
  <c r="G31" i="5"/>
  <c r="G30" i="5"/>
  <c r="G29" i="5"/>
  <c r="G28" i="5"/>
  <c r="F38" i="5"/>
  <c r="C38" i="5"/>
  <c r="G27" i="5"/>
  <c r="G26" i="5"/>
  <c r="Y33" i="8" l="1"/>
  <c r="C33" i="8"/>
  <c r="D33" i="8" s="1"/>
  <c r="O33" i="8"/>
  <c r="K33" i="8"/>
  <c r="I33" i="8"/>
  <c r="J33" i="8" s="1"/>
  <c r="Q33" i="8"/>
  <c r="E33" i="8"/>
  <c r="F33" i="8" s="1"/>
  <c r="G33" i="8"/>
  <c r="H33" i="8" s="1"/>
  <c r="W33" i="8"/>
  <c r="S33" i="8"/>
  <c r="M33" i="8"/>
  <c r="U33" i="8"/>
  <c r="V33" i="8" s="1"/>
  <c r="X33" i="8"/>
  <c r="T33" i="8"/>
  <c r="P33" i="8"/>
  <c r="L33" i="8"/>
  <c r="Z33" i="8"/>
  <c r="R33" i="8"/>
  <c r="N33" i="8"/>
  <c r="O63" i="8"/>
  <c r="AA84" i="8"/>
  <c r="G38" i="5"/>
  <c r="C90" i="1" l="1"/>
  <c r="D90" i="1"/>
  <c r="B90" i="1"/>
  <c r="C94" i="4"/>
  <c r="D94" i="4"/>
  <c r="B94" i="4"/>
  <c r="E147" i="3"/>
  <c r="C147" i="3"/>
  <c r="D147" i="3"/>
  <c r="B147" i="3"/>
  <c r="D121" i="2"/>
  <c r="C121" i="2"/>
  <c r="B121" i="2"/>
  <c r="N62" i="8" l="1"/>
  <c r="M62" i="8"/>
  <c r="L62" i="8"/>
  <c r="K62" i="8"/>
  <c r="J62" i="8"/>
  <c r="I62" i="8"/>
  <c r="H62" i="8"/>
  <c r="G62" i="8"/>
  <c r="F62" i="8"/>
  <c r="E62" i="8"/>
  <c r="C62" i="8"/>
  <c r="C32" i="8" s="1"/>
  <c r="D32" i="8" s="1"/>
  <c r="N61" i="8"/>
  <c r="M61" i="8"/>
  <c r="L61" i="8"/>
  <c r="K61" i="8"/>
  <c r="J61" i="8"/>
  <c r="I61" i="8"/>
  <c r="H61" i="8"/>
  <c r="G61" i="8"/>
  <c r="F61" i="8"/>
  <c r="E61" i="8"/>
  <c r="D61" i="8"/>
  <c r="C61" i="8"/>
  <c r="N60" i="8"/>
  <c r="M60" i="8"/>
  <c r="L60" i="8"/>
  <c r="K60" i="8"/>
  <c r="J60" i="8"/>
  <c r="I60" i="8"/>
  <c r="H60" i="8"/>
  <c r="G60" i="8"/>
  <c r="F60" i="8"/>
  <c r="E60" i="8"/>
  <c r="D60" i="8"/>
  <c r="C60" i="8"/>
  <c r="C59" i="8"/>
  <c r="D59" i="8"/>
  <c r="E59" i="8"/>
  <c r="F59" i="8"/>
  <c r="G59" i="8"/>
  <c r="H59" i="8"/>
  <c r="I59" i="8"/>
  <c r="J59" i="8"/>
  <c r="K59" i="8"/>
  <c r="L59" i="8"/>
  <c r="M59" i="8"/>
  <c r="N59" i="8"/>
  <c r="C72" i="8"/>
  <c r="D72" i="8"/>
  <c r="E72" i="8"/>
  <c r="F72" i="8"/>
  <c r="G72" i="8"/>
  <c r="H72" i="8"/>
  <c r="I72" i="8"/>
  <c r="J72" i="8"/>
  <c r="K72" i="8"/>
  <c r="L72" i="8"/>
  <c r="M72" i="8"/>
  <c r="N72" i="8"/>
  <c r="C73" i="8"/>
  <c r="D73" i="8"/>
  <c r="E73" i="8"/>
  <c r="F73" i="8"/>
  <c r="G73" i="8"/>
  <c r="H73" i="8"/>
  <c r="I73" i="8"/>
  <c r="J73" i="8"/>
  <c r="K73" i="8"/>
  <c r="L73" i="8"/>
  <c r="M73" i="8"/>
  <c r="N73" i="8"/>
  <c r="C74" i="8"/>
  <c r="D74" i="8"/>
  <c r="E74" i="8"/>
  <c r="F74" i="8"/>
  <c r="G74" i="8"/>
  <c r="H74" i="8"/>
  <c r="I74" i="8"/>
  <c r="J74" i="8"/>
  <c r="K74" i="8"/>
  <c r="L74" i="8"/>
  <c r="M74" i="8"/>
  <c r="N74" i="8"/>
  <c r="C75" i="8"/>
  <c r="D75" i="8"/>
  <c r="E75" i="8"/>
  <c r="F75" i="8"/>
  <c r="G75" i="8"/>
  <c r="I75" i="8"/>
  <c r="J75" i="8"/>
  <c r="K75" i="8"/>
  <c r="L75" i="8"/>
  <c r="M75" i="8"/>
  <c r="N75" i="8"/>
  <c r="C76" i="8"/>
  <c r="D76" i="8"/>
  <c r="E76" i="8"/>
  <c r="F76" i="8"/>
  <c r="G76" i="8"/>
  <c r="H76" i="8"/>
  <c r="I76" i="8"/>
  <c r="J76" i="8"/>
  <c r="K76" i="8"/>
  <c r="L76" i="8"/>
  <c r="M76" i="8"/>
  <c r="N76" i="8"/>
  <c r="N58" i="8"/>
  <c r="M58" i="8"/>
  <c r="L58" i="8"/>
  <c r="K58" i="8"/>
  <c r="J58" i="8"/>
  <c r="I58" i="8"/>
  <c r="H58" i="8"/>
  <c r="G58" i="8"/>
  <c r="F58" i="8"/>
  <c r="E58" i="8"/>
  <c r="D58" i="8"/>
  <c r="C58" i="8"/>
  <c r="N57" i="8"/>
  <c r="M57" i="8"/>
  <c r="L57" i="8"/>
  <c r="K57" i="8"/>
  <c r="J57" i="8"/>
  <c r="I57" i="8"/>
  <c r="H57" i="8"/>
  <c r="G57" i="8"/>
  <c r="F57" i="8"/>
  <c r="E57" i="8"/>
  <c r="D57" i="8"/>
  <c r="C57" i="8"/>
  <c r="N56" i="8"/>
  <c r="M56" i="8"/>
  <c r="L56" i="8"/>
  <c r="K56" i="8"/>
  <c r="J56" i="8"/>
  <c r="I56" i="8"/>
  <c r="H56" i="8"/>
  <c r="G56" i="8"/>
  <c r="F56" i="8"/>
  <c r="E56" i="8"/>
  <c r="D56" i="8"/>
  <c r="C56" i="8"/>
  <c r="N55" i="8"/>
  <c r="M55" i="8"/>
  <c r="L55" i="8"/>
  <c r="K55" i="8"/>
  <c r="J55" i="8"/>
  <c r="I55" i="8"/>
  <c r="H55" i="8"/>
  <c r="G55" i="8"/>
  <c r="F55" i="8"/>
  <c r="E55" i="8"/>
  <c r="D55" i="8"/>
  <c r="C55" i="8"/>
  <c r="C54" i="8"/>
  <c r="D54" i="8"/>
  <c r="E54" i="8"/>
  <c r="F54" i="8"/>
  <c r="G54" i="8"/>
  <c r="H54" i="8"/>
  <c r="I54" i="8"/>
  <c r="J54" i="8"/>
  <c r="K54" i="8"/>
  <c r="L54" i="8"/>
  <c r="M54" i="8"/>
  <c r="N54" i="8"/>
  <c r="N53" i="8"/>
  <c r="M53" i="8"/>
  <c r="L53" i="8"/>
  <c r="K53" i="8"/>
  <c r="J53" i="8"/>
  <c r="I53" i="8"/>
  <c r="H53" i="8"/>
  <c r="G53" i="8"/>
  <c r="F53" i="8"/>
  <c r="E53" i="8"/>
  <c r="D53" i="8"/>
  <c r="C53" i="8"/>
  <c r="N52" i="8"/>
  <c r="M52" i="8"/>
  <c r="L52" i="8"/>
  <c r="K52" i="8"/>
  <c r="J52" i="8"/>
  <c r="I52" i="8"/>
  <c r="H52" i="8"/>
  <c r="G52" i="8"/>
  <c r="F52" i="8"/>
  <c r="E52" i="8"/>
  <c r="D52" i="8"/>
  <c r="C52" i="8"/>
  <c r="N51" i="8"/>
  <c r="M51" i="8"/>
  <c r="L51" i="8"/>
  <c r="K51" i="8"/>
  <c r="J51" i="8"/>
  <c r="I51" i="8"/>
  <c r="H51" i="8"/>
  <c r="G51" i="8"/>
  <c r="F51" i="8"/>
  <c r="E51" i="8"/>
  <c r="D51" i="8"/>
  <c r="C51" i="8"/>
  <c r="N50" i="8"/>
  <c r="M50" i="8"/>
  <c r="L50" i="8"/>
  <c r="K50" i="8"/>
  <c r="J50" i="8"/>
  <c r="I50" i="8"/>
  <c r="H50" i="8"/>
  <c r="G50" i="8"/>
  <c r="F50" i="8"/>
  <c r="E50" i="8"/>
  <c r="D50" i="8"/>
  <c r="C50" i="8"/>
  <c r="N49" i="8"/>
  <c r="M49" i="8"/>
  <c r="L49" i="8"/>
  <c r="K49" i="8"/>
  <c r="J49" i="8"/>
  <c r="I49" i="8"/>
  <c r="H49" i="8"/>
  <c r="G49" i="8"/>
  <c r="F49" i="8"/>
  <c r="E49" i="8"/>
  <c r="D49" i="8"/>
  <c r="C49" i="8"/>
  <c r="N48" i="8"/>
  <c r="M48" i="8"/>
  <c r="L48" i="8"/>
  <c r="K48" i="8"/>
  <c r="J48" i="8"/>
  <c r="I48" i="8"/>
  <c r="H48" i="8"/>
  <c r="G48" i="8"/>
  <c r="F48" i="8"/>
  <c r="E48" i="8"/>
  <c r="D48" i="8"/>
  <c r="C48" i="8"/>
  <c r="N47" i="8"/>
  <c r="M47" i="8"/>
  <c r="L47" i="8"/>
  <c r="K47" i="8"/>
  <c r="J47" i="8"/>
  <c r="I47" i="8"/>
  <c r="H47" i="8"/>
  <c r="G47" i="8"/>
  <c r="F47" i="8"/>
  <c r="E47" i="8"/>
  <c r="D47" i="8"/>
  <c r="C47" i="8"/>
  <c r="N46" i="8"/>
  <c r="M46" i="8"/>
  <c r="L46" i="8"/>
  <c r="K46" i="8"/>
  <c r="J46" i="8"/>
  <c r="I46" i="8"/>
  <c r="H46" i="8"/>
  <c r="G46" i="8"/>
  <c r="F46" i="8"/>
  <c r="E46" i="8"/>
  <c r="D46" i="8"/>
  <c r="C46" i="8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X83" i="8"/>
  <c r="X82" i="8"/>
  <c r="X81" i="8"/>
  <c r="X80" i="8"/>
  <c r="X79" i="8"/>
  <c r="X78" i="8"/>
  <c r="X77" i="8"/>
  <c r="X76" i="8"/>
  <c r="X75" i="8"/>
  <c r="X74" i="8"/>
  <c r="X72" i="8"/>
  <c r="W83" i="8"/>
  <c r="W82" i="8"/>
  <c r="W81" i="8"/>
  <c r="W80" i="8"/>
  <c r="W79" i="8"/>
  <c r="W78" i="8"/>
  <c r="W77" i="8"/>
  <c r="W76" i="8"/>
  <c r="W75" i="8"/>
  <c r="W74" i="8"/>
  <c r="W73" i="8"/>
  <c r="W72" i="8"/>
  <c r="V83" i="8"/>
  <c r="V82" i="8"/>
  <c r="V81" i="8"/>
  <c r="V80" i="8"/>
  <c r="V79" i="8"/>
  <c r="V78" i="8"/>
  <c r="V77" i="8"/>
  <c r="V76" i="8"/>
  <c r="V75" i="8"/>
  <c r="V74" i="8"/>
  <c r="V73" i="8"/>
  <c r="V72" i="8"/>
  <c r="U83" i="8"/>
  <c r="U82" i="8"/>
  <c r="U81" i="8"/>
  <c r="U80" i="8"/>
  <c r="U79" i="8"/>
  <c r="U78" i="8"/>
  <c r="U77" i="8"/>
  <c r="U76" i="8"/>
  <c r="U75" i="8"/>
  <c r="U74" i="8"/>
  <c r="U73" i="8"/>
  <c r="U72" i="8"/>
  <c r="T83" i="8"/>
  <c r="T82" i="8"/>
  <c r="T81" i="8"/>
  <c r="T80" i="8"/>
  <c r="T79" i="8"/>
  <c r="T78" i="8"/>
  <c r="T77" i="8"/>
  <c r="T76" i="8"/>
  <c r="T75" i="8"/>
  <c r="T74" i="8"/>
  <c r="T73" i="8"/>
  <c r="T72" i="8"/>
  <c r="S83" i="8"/>
  <c r="S82" i="8"/>
  <c r="S81" i="8"/>
  <c r="S80" i="8"/>
  <c r="S79" i="8"/>
  <c r="S78" i="8"/>
  <c r="S77" i="8"/>
  <c r="S76" i="8"/>
  <c r="S75" i="8"/>
  <c r="S74" i="8"/>
  <c r="S73" i="8"/>
  <c r="S72" i="8"/>
  <c r="R83" i="8"/>
  <c r="R82" i="8"/>
  <c r="R81" i="8"/>
  <c r="R80" i="8"/>
  <c r="R79" i="8"/>
  <c r="R78" i="8"/>
  <c r="R77" i="8"/>
  <c r="R76" i="8"/>
  <c r="R75" i="8"/>
  <c r="R74" i="8"/>
  <c r="R73" i="8"/>
  <c r="R72" i="8"/>
  <c r="Q83" i="8"/>
  <c r="Q82" i="8"/>
  <c r="Q81" i="8"/>
  <c r="Q80" i="8"/>
  <c r="Q79" i="8"/>
  <c r="Q78" i="8"/>
  <c r="Q77" i="8"/>
  <c r="Q76" i="8"/>
  <c r="Q75" i="8"/>
  <c r="Q74" i="8"/>
  <c r="Q73" i="8"/>
  <c r="Q72" i="8"/>
  <c r="P83" i="8"/>
  <c r="P82" i="8"/>
  <c r="P81" i="8"/>
  <c r="P80" i="8"/>
  <c r="P79" i="8"/>
  <c r="P78" i="8"/>
  <c r="P77" i="8"/>
  <c r="P76" i="8"/>
  <c r="P75" i="8"/>
  <c r="P74" i="8"/>
  <c r="P73" i="8"/>
  <c r="P72" i="8"/>
  <c r="O83" i="8"/>
  <c r="O82" i="8"/>
  <c r="O81" i="8"/>
  <c r="O80" i="8"/>
  <c r="O79" i="8"/>
  <c r="O78" i="8"/>
  <c r="O77" i="8"/>
  <c r="O76" i="8"/>
  <c r="O75" i="8"/>
  <c r="O74" i="8"/>
  <c r="O73" i="8"/>
  <c r="O72" i="8"/>
  <c r="N83" i="8"/>
  <c r="N82" i="8"/>
  <c r="N81" i="8"/>
  <c r="N80" i="8"/>
  <c r="N79" i="8"/>
  <c r="N78" i="8"/>
  <c r="N77" i="8"/>
  <c r="M83" i="8"/>
  <c r="M82" i="8"/>
  <c r="M81" i="8"/>
  <c r="M80" i="8"/>
  <c r="M79" i="8"/>
  <c r="M78" i="8"/>
  <c r="M77" i="8"/>
  <c r="L83" i="8"/>
  <c r="L82" i="8"/>
  <c r="L81" i="8"/>
  <c r="L80" i="8"/>
  <c r="L79" i="8"/>
  <c r="L78" i="8"/>
  <c r="L77" i="8"/>
  <c r="K83" i="8"/>
  <c r="K82" i="8"/>
  <c r="K81" i="8"/>
  <c r="K80" i="8"/>
  <c r="K79" i="8"/>
  <c r="K78" i="8"/>
  <c r="K77" i="8"/>
  <c r="J83" i="8"/>
  <c r="J82" i="8"/>
  <c r="J81" i="8"/>
  <c r="J80" i="8"/>
  <c r="J79" i="8"/>
  <c r="J78" i="8"/>
  <c r="J77" i="8"/>
  <c r="I83" i="8"/>
  <c r="I82" i="8"/>
  <c r="I81" i="8"/>
  <c r="I80" i="8"/>
  <c r="I79" i="8"/>
  <c r="I78" i="8"/>
  <c r="I77" i="8"/>
  <c r="H83" i="8"/>
  <c r="H82" i="8"/>
  <c r="H81" i="8"/>
  <c r="H80" i="8"/>
  <c r="H79" i="8"/>
  <c r="H78" i="8"/>
  <c r="H77" i="8"/>
  <c r="G83" i="8"/>
  <c r="G82" i="8"/>
  <c r="G81" i="8"/>
  <c r="G80" i="8"/>
  <c r="G79" i="8"/>
  <c r="G78" i="8"/>
  <c r="G77" i="8"/>
  <c r="F83" i="8"/>
  <c r="F82" i="8"/>
  <c r="F81" i="8"/>
  <c r="F80" i="8"/>
  <c r="F79" i="8"/>
  <c r="F78" i="8"/>
  <c r="F77" i="8"/>
  <c r="E83" i="8"/>
  <c r="E82" i="8"/>
  <c r="E81" i="8"/>
  <c r="E80" i="8"/>
  <c r="E79" i="8"/>
  <c r="E78" i="8"/>
  <c r="E77" i="8"/>
  <c r="D83" i="8"/>
  <c r="D82" i="8"/>
  <c r="D81" i="8"/>
  <c r="D80" i="8"/>
  <c r="D79" i="8"/>
  <c r="D78" i="8"/>
  <c r="D77" i="8"/>
  <c r="C83" i="8"/>
  <c r="C82" i="8"/>
  <c r="C81" i="8"/>
  <c r="C80" i="8"/>
  <c r="C79" i="8"/>
  <c r="C78" i="8"/>
  <c r="C77" i="8"/>
  <c r="C31" i="8" l="1"/>
  <c r="D31" i="8" s="1"/>
  <c r="M11" i="8"/>
  <c r="N11" i="8" s="1"/>
  <c r="W12" i="8"/>
  <c r="X12" i="8" s="1"/>
  <c r="Y13" i="8"/>
  <c r="Z13" i="8" s="1"/>
  <c r="Q14" i="8"/>
  <c r="R14" i="8" s="1"/>
  <c r="U15" i="8"/>
  <c r="V15" i="8" s="1"/>
  <c r="W16" i="8"/>
  <c r="X16" i="8" s="1"/>
  <c r="Y17" i="8"/>
  <c r="Z17" i="8" s="1"/>
  <c r="S18" i="8"/>
  <c r="T18" i="8" s="1"/>
  <c r="U19" i="8"/>
  <c r="V19" i="8" s="1"/>
  <c r="W20" i="8"/>
  <c r="X20" i="8" s="1"/>
  <c r="Y21" i="8"/>
  <c r="Z21" i="8" s="1"/>
  <c r="S22" i="8"/>
  <c r="T22" i="8" s="1"/>
  <c r="W24" i="8"/>
  <c r="X24" i="8" s="1"/>
  <c r="Y25" i="8"/>
  <c r="Z25" i="8" s="1"/>
  <c r="S26" i="8"/>
  <c r="T26" i="8" s="1"/>
  <c r="U27" i="8"/>
  <c r="V27" i="8" s="1"/>
  <c r="Y29" i="8"/>
  <c r="Z29" i="8" s="1"/>
  <c r="S30" i="8"/>
  <c r="T30" i="8" s="1"/>
  <c r="W23" i="8"/>
  <c r="X23" i="8" s="1"/>
  <c r="S23" i="8"/>
  <c r="T23" i="8" s="1"/>
  <c r="Y28" i="8"/>
  <c r="Z28" i="8" s="1"/>
  <c r="U28" i="8"/>
  <c r="V28" i="8" s="1"/>
  <c r="O30" i="8"/>
  <c r="P30" i="8" s="1"/>
  <c r="O28" i="8"/>
  <c r="P28" i="8" s="1"/>
  <c r="O26" i="8"/>
  <c r="P26" i="8" s="1"/>
  <c r="O24" i="8"/>
  <c r="P24" i="8" s="1"/>
  <c r="O22" i="8"/>
  <c r="P22" i="8" s="1"/>
  <c r="O19" i="8"/>
  <c r="P19" i="8" s="1"/>
  <c r="O17" i="8"/>
  <c r="P17" i="8" s="1"/>
  <c r="O15" i="8"/>
  <c r="P15" i="8" s="1"/>
  <c r="O13" i="8"/>
  <c r="P13" i="8" s="1"/>
  <c r="O21" i="8"/>
  <c r="P21" i="8" s="1"/>
  <c r="Q29" i="8"/>
  <c r="R29" i="8" s="1"/>
  <c r="Q27" i="8"/>
  <c r="R27" i="8" s="1"/>
  <c r="Q25" i="8"/>
  <c r="R25" i="8" s="1"/>
  <c r="Q23" i="8"/>
  <c r="R23" i="8" s="1"/>
  <c r="Q21" i="8"/>
  <c r="R21" i="8" s="1"/>
  <c r="Q18" i="8"/>
  <c r="R18" i="8" s="1"/>
  <c r="Q16" i="8"/>
  <c r="R16" i="8" s="1"/>
  <c r="Q12" i="8"/>
  <c r="R12" i="8" s="1"/>
  <c r="S13" i="8"/>
  <c r="T13" i="8" s="1"/>
  <c r="U23" i="8"/>
  <c r="V23" i="8" s="1"/>
  <c r="W28" i="8"/>
  <c r="X28" i="8" s="1"/>
  <c r="Y11" i="8"/>
  <c r="Z11" i="8" s="1"/>
  <c r="W11" i="8"/>
  <c r="X11" i="8" s="1"/>
  <c r="U11" i="8"/>
  <c r="V11" i="8" s="1"/>
  <c r="S11" i="8"/>
  <c r="T11" i="8" s="1"/>
  <c r="Q11" i="8"/>
  <c r="R11" i="8" s="1"/>
  <c r="O11" i="8"/>
  <c r="P11" i="8" s="1"/>
  <c r="K11" i="8"/>
  <c r="L11" i="8" s="1"/>
  <c r="Y12" i="8"/>
  <c r="Z12" i="8" s="1"/>
  <c r="U12" i="8"/>
  <c r="V12" i="8" s="1"/>
  <c r="S12" i="8"/>
  <c r="T12" i="8" s="1"/>
  <c r="W13" i="8"/>
  <c r="X13" i="8" s="1"/>
  <c r="Y14" i="8"/>
  <c r="Z14" i="8" s="1"/>
  <c r="U14" i="8"/>
  <c r="V14" i="8" s="1"/>
  <c r="S14" i="8"/>
  <c r="T14" i="8" s="1"/>
  <c r="W15" i="8"/>
  <c r="X15" i="8" s="1"/>
  <c r="Y16" i="8"/>
  <c r="Z16" i="8" s="1"/>
  <c r="U16" i="8"/>
  <c r="V16" i="8" s="1"/>
  <c r="S16" i="8"/>
  <c r="T16" i="8" s="1"/>
  <c r="S17" i="8"/>
  <c r="T17" i="8" s="1"/>
  <c r="W17" i="8"/>
  <c r="X17" i="8" s="1"/>
  <c r="Y18" i="8"/>
  <c r="Z18" i="8" s="1"/>
  <c r="U18" i="8"/>
  <c r="V18" i="8" s="1"/>
  <c r="W19" i="8"/>
  <c r="X19" i="8" s="1"/>
  <c r="S19" i="8"/>
  <c r="T19" i="8" s="1"/>
  <c r="Q20" i="8"/>
  <c r="R20" i="8" s="1"/>
  <c r="Y20" i="8"/>
  <c r="Z20" i="8" s="1"/>
  <c r="U20" i="8"/>
  <c r="V20" i="8" s="1"/>
  <c r="W21" i="8"/>
  <c r="X21" i="8" s="1"/>
  <c r="S21" i="8"/>
  <c r="T21" i="8" s="1"/>
  <c r="Y22" i="8"/>
  <c r="Z22" i="8" s="1"/>
  <c r="U22" i="8"/>
  <c r="V22" i="8" s="1"/>
  <c r="Y24" i="8"/>
  <c r="Z24" i="8" s="1"/>
  <c r="U24" i="8"/>
  <c r="V24" i="8" s="1"/>
  <c r="W25" i="8"/>
  <c r="X25" i="8" s="1"/>
  <c r="S25" i="8"/>
  <c r="T25" i="8" s="1"/>
  <c r="Y26" i="8"/>
  <c r="Z26" i="8" s="1"/>
  <c r="U26" i="8"/>
  <c r="V26" i="8" s="1"/>
  <c r="W27" i="8"/>
  <c r="X27" i="8" s="1"/>
  <c r="S27" i="8"/>
  <c r="T27" i="8" s="1"/>
  <c r="W29" i="8"/>
  <c r="X29" i="8" s="1"/>
  <c r="S29" i="8"/>
  <c r="T29" i="8" s="1"/>
  <c r="Y30" i="8"/>
  <c r="Z30" i="8" s="1"/>
  <c r="U30" i="8"/>
  <c r="V30" i="8" s="1"/>
  <c r="M14" i="8"/>
  <c r="N14" i="8" s="1"/>
  <c r="O29" i="8"/>
  <c r="P29" i="8" s="1"/>
  <c r="O27" i="8"/>
  <c r="P27" i="8" s="1"/>
  <c r="O25" i="8"/>
  <c r="P25" i="8" s="1"/>
  <c r="O23" i="8"/>
  <c r="P23" i="8" s="1"/>
  <c r="O20" i="8"/>
  <c r="P20" i="8" s="1"/>
  <c r="O18" i="8"/>
  <c r="P18" i="8" s="1"/>
  <c r="O16" i="8"/>
  <c r="P16" i="8" s="1"/>
  <c r="O14" i="8"/>
  <c r="P14" i="8" s="1"/>
  <c r="O12" i="8"/>
  <c r="P12" i="8" s="1"/>
  <c r="Q30" i="8"/>
  <c r="R30" i="8" s="1"/>
  <c r="Q28" i="8"/>
  <c r="R28" i="8" s="1"/>
  <c r="Q26" i="8"/>
  <c r="R26" i="8" s="1"/>
  <c r="Q24" i="8"/>
  <c r="R24" i="8" s="1"/>
  <c r="Q22" i="8"/>
  <c r="R22" i="8" s="1"/>
  <c r="Q19" i="8"/>
  <c r="R19" i="8" s="1"/>
  <c r="Q17" i="8"/>
  <c r="R17" i="8" s="1"/>
  <c r="Q15" i="8"/>
  <c r="R15" i="8" s="1"/>
  <c r="Q13" i="8"/>
  <c r="R13" i="8" s="1"/>
  <c r="S28" i="8"/>
  <c r="T28" i="8" s="1"/>
  <c r="S24" i="8"/>
  <c r="T24" i="8" s="1"/>
  <c r="S20" i="8"/>
  <c r="T20" i="8" s="1"/>
  <c r="S15" i="8"/>
  <c r="T15" i="8" s="1"/>
  <c r="U29" i="8"/>
  <c r="V29" i="8" s="1"/>
  <c r="U25" i="8"/>
  <c r="V25" i="8" s="1"/>
  <c r="U21" i="8"/>
  <c r="V21" i="8" s="1"/>
  <c r="U17" i="8"/>
  <c r="V17" i="8" s="1"/>
  <c r="U13" i="8"/>
  <c r="V13" i="8" s="1"/>
  <c r="W30" i="8"/>
  <c r="X30" i="8" s="1"/>
  <c r="W26" i="8"/>
  <c r="X26" i="8" s="1"/>
  <c r="W22" i="8"/>
  <c r="X22" i="8" s="1"/>
  <c r="W18" i="8"/>
  <c r="X18" i="8" s="1"/>
  <c r="W14" i="8"/>
  <c r="X14" i="8" s="1"/>
  <c r="Y27" i="8"/>
  <c r="Z27" i="8" s="1"/>
  <c r="Y23" i="8"/>
  <c r="Z23" i="8" s="1"/>
  <c r="Y19" i="8"/>
  <c r="Z19" i="8" s="1"/>
  <c r="Y15" i="8"/>
  <c r="Z15" i="8" s="1"/>
  <c r="K23" i="8"/>
  <c r="L23" i="8" s="1"/>
  <c r="E28" i="8"/>
  <c r="F28" i="8" s="1"/>
  <c r="G11" i="8"/>
  <c r="H11" i="8" s="1"/>
  <c r="E11" i="8"/>
  <c r="F11" i="8" s="1"/>
  <c r="C11" i="8"/>
  <c r="D11" i="8" s="1"/>
  <c r="I11" i="8"/>
  <c r="J11" i="8" s="1"/>
  <c r="K12" i="8"/>
  <c r="L12" i="8" s="1"/>
  <c r="I12" i="8"/>
  <c r="J12" i="8" s="1"/>
  <c r="G12" i="8"/>
  <c r="H12" i="8" s="1"/>
  <c r="M12" i="8"/>
  <c r="N12" i="8" s="1"/>
  <c r="E12" i="8"/>
  <c r="F12" i="8" s="1"/>
  <c r="M13" i="8"/>
  <c r="N13" i="8" s="1"/>
  <c r="K13" i="8"/>
  <c r="L13" i="8" s="1"/>
  <c r="I13" i="8"/>
  <c r="J13" i="8" s="1"/>
  <c r="G13" i="8"/>
  <c r="H13" i="8" s="1"/>
  <c r="E13" i="8"/>
  <c r="F13" i="8" s="1"/>
  <c r="K14" i="8"/>
  <c r="L14" i="8" s="1"/>
  <c r="I14" i="8"/>
  <c r="J14" i="8" s="1"/>
  <c r="G14" i="8"/>
  <c r="H14" i="8" s="1"/>
  <c r="E14" i="8"/>
  <c r="F14" i="8" s="1"/>
  <c r="M15" i="8"/>
  <c r="N15" i="8" s="1"/>
  <c r="E15" i="8"/>
  <c r="F15" i="8" s="1"/>
  <c r="K15" i="8"/>
  <c r="L15" i="8" s="1"/>
  <c r="I15" i="8"/>
  <c r="J15" i="8" s="1"/>
  <c r="G15" i="8"/>
  <c r="H15" i="8" s="1"/>
  <c r="K16" i="8"/>
  <c r="L16" i="8" s="1"/>
  <c r="I16" i="8"/>
  <c r="J16" i="8" s="1"/>
  <c r="G16" i="8"/>
  <c r="H16" i="8" s="1"/>
  <c r="M16" i="8"/>
  <c r="N16" i="8" s="1"/>
  <c r="E16" i="8"/>
  <c r="F16" i="8" s="1"/>
  <c r="M17" i="8"/>
  <c r="N17" i="8" s="1"/>
  <c r="K17" i="8"/>
  <c r="L17" i="8" s="1"/>
  <c r="I17" i="8"/>
  <c r="J17" i="8" s="1"/>
  <c r="G17" i="8"/>
  <c r="H17" i="8" s="1"/>
  <c r="E17" i="8"/>
  <c r="F17" i="8" s="1"/>
  <c r="M18" i="8"/>
  <c r="N18" i="8" s="1"/>
  <c r="K18" i="8"/>
  <c r="L18" i="8" s="1"/>
  <c r="I18" i="8"/>
  <c r="J18" i="8" s="1"/>
  <c r="G18" i="8"/>
  <c r="H18" i="8" s="1"/>
  <c r="E18" i="8"/>
  <c r="F18" i="8" s="1"/>
  <c r="M19" i="8"/>
  <c r="N19" i="8" s="1"/>
  <c r="E19" i="8"/>
  <c r="F19" i="8" s="1"/>
  <c r="K19" i="8"/>
  <c r="L19" i="8" s="1"/>
  <c r="I19" i="8"/>
  <c r="J19" i="8" s="1"/>
  <c r="G19" i="8"/>
  <c r="H19" i="8" s="1"/>
  <c r="K20" i="8"/>
  <c r="L20" i="8" s="1"/>
  <c r="I20" i="8"/>
  <c r="J20" i="8" s="1"/>
  <c r="G20" i="8"/>
  <c r="H20" i="8" s="1"/>
  <c r="M21" i="8"/>
  <c r="N21" i="8" s="1"/>
  <c r="M22" i="8"/>
  <c r="N22" i="8" s="1"/>
  <c r="K22" i="8"/>
  <c r="L22" i="8" s="1"/>
  <c r="I22" i="8"/>
  <c r="J22" i="8" s="1"/>
  <c r="G22" i="8"/>
  <c r="H22" i="8" s="1"/>
  <c r="C24" i="8"/>
  <c r="D24" i="8" s="1"/>
  <c r="K24" i="8"/>
  <c r="L24" i="8" s="1"/>
  <c r="I24" i="8"/>
  <c r="J24" i="8" s="1"/>
  <c r="G24" i="8"/>
  <c r="H24" i="8" s="1"/>
  <c r="M25" i="8"/>
  <c r="N25" i="8" s="1"/>
  <c r="M26" i="8"/>
  <c r="N26" i="8" s="1"/>
  <c r="K26" i="8"/>
  <c r="L26" i="8" s="1"/>
  <c r="I26" i="8"/>
  <c r="J26" i="8" s="1"/>
  <c r="G26" i="8"/>
  <c r="H26" i="8" s="1"/>
  <c r="M27" i="8"/>
  <c r="N27" i="8" s="1"/>
  <c r="C29" i="8"/>
  <c r="D29" i="8" s="1"/>
  <c r="M29" i="8"/>
  <c r="N29" i="8" s="1"/>
  <c r="M30" i="8"/>
  <c r="N30" i="8" s="1"/>
  <c r="K30" i="8"/>
  <c r="L30" i="8" s="1"/>
  <c r="I30" i="8"/>
  <c r="J30" i="8" s="1"/>
  <c r="G30" i="8"/>
  <c r="H30" i="8" s="1"/>
  <c r="E30" i="8"/>
  <c r="F30" i="8" s="1"/>
  <c r="E26" i="8"/>
  <c r="F26" i="8" s="1"/>
  <c r="E24" i="8"/>
  <c r="F24" i="8" s="1"/>
  <c r="E22" i="8"/>
  <c r="F22" i="8" s="1"/>
  <c r="E20" i="8"/>
  <c r="F20" i="8" s="1"/>
  <c r="G27" i="8"/>
  <c r="H27" i="8" s="1"/>
  <c r="G23" i="8"/>
  <c r="H23" i="8" s="1"/>
  <c r="I27" i="8"/>
  <c r="J27" i="8" s="1"/>
  <c r="I23" i="8"/>
  <c r="J23" i="8" s="1"/>
  <c r="K27" i="8"/>
  <c r="L27" i="8" s="1"/>
  <c r="M24" i="8"/>
  <c r="N24" i="8" s="1"/>
  <c r="M23" i="8"/>
  <c r="N23" i="8" s="1"/>
  <c r="K28" i="8"/>
  <c r="L28" i="8" s="1"/>
  <c r="I28" i="8"/>
  <c r="J28" i="8" s="1"/>
  <c r="G28" i="8"/>
  <c r="H28" i="8" s="1"/>
  <c r="E29" i="8"/>
  <c r="F29" i="8" s="1"/>
  <c r="E27" i="8"/>
  <c r="F27" i="8" s="1"/>
  <c r="E25" i="8"/>
  <c r="F25" i="8" s="1"/>
  <c r="E23" i="8"/>
  <c r="F23" i="8" s="1"/>
  <c r="E21" i="8"/>
  <c r="F21" i="8" s="1"/>
  <c r="G29" i="8"/>
  <c r="H29" i="8" s="1"/>
  <c r="G25" i="8"/>
  <c r="H25" i="8" s="1"/>
  <c r="G21" i="8"/>
  <c r="H21" i="8" s="1"/>
  <c r="I29" i="8"/>
  <c r="J29" i="8" s="1"/>
  <c r="I25" i="8"/>
  <c r="J25" i="8" s="1"/>
  <c r="I21" i="8"/>
  <c r="J21" i="8" s="1"/>
  <c r="K29" i="8"/>
  <c r="L29" i="8" s="1"/>
  <c r="K25" i="8"/>
  <c r="L25" i="8" s="1"/>
  <c r="K21" i="8"/>
  <c r="L21" i="8" s="1"/>
  <c r="M28" i="8"/>
  <c r="N28" i="8" s="1"/>
  <c r="M20" i="8"/>
  <c r="N20" i="8" s="1"/>
  <c r="C12" i="8"/>
  <c r="D12" i="8" s="1"/>
  <c r="C13" i="8"/>
  <c r="D13" i="8" s="1"/>
  <c r="C14" i="8"/>
  <c r="D14" i="8" s="1"/>
  <c r="C15" i="8"/>
  <c r="D15" i="8" s="1"/>
  <c r="C16" i="8"/>
  <c r="D16" i="8" s="1"/>
  <c r="C17" i="8"/>
  <c r="D17" i="8" s="1"/>
  <c r="C18" i="8"/>
  <c r="D18" i="8" s="1"/>
  <c r="C19" i="8"/>
  <c r="D19" i="8" s="1"/>
  <c r="C20" i="8"/>
  <c r="D20" i="8" s="1"/>
  <c r="C21" i="8"/>
  <c r="D21" i="8" s="1"/>
  <c r="C22" i="8"/>
  <c r="D22" i="8" s="1"/>
  <c r="C25" i="8"/>
  <c r="D25" i="8" s="1"/>
  <c r="C26" i="8"/>
  <c r="D26" i="8" s="1"/>
  <c r="C27" i="8"/>
  <c r="D27" i="8" s="1"/>
  <c r="C30" i="8"/>
  <c r="D30" i="8" s="1"/>
  <c r="C23" i="8"/>
  <c r="D23" i="8" s="1"/>
  <c r="C28" i="8"/>
  <c r="D28" i="8" s="1"/>
  <c r="O41" i="8"/>
  <c r="O44" i="8"/>
  <c r="O46" i="8"/>
  <c r="O48" i="8"/>
  <c r="O50" i="8"/>
  <c r="O52" i="8"/>
  <c r="O56" i="8"/>
  <c r="O58" i="8"/>
  <c r="O54" i="8"/>
  <c r="O59" i="8"/>
  <c r="K84" i="8"/>
  <c r="O42" i="8"/>
  <c r="O43" i="8"/>
  <c r="O45" i="8"/>
  <c r="O47" i="8"/>
  <c r="O49" i="8"/>
  <c r="O51" i="8"/>
  <c r="O53" i="8"/>
  <c r="O55" i="8"/>
  <c r="O57" i="8"/>
  <c r="F84" i="8"/>
  <c r="O60" i="8"/>
  <c r="O61" i="8"/>
  <c r="J84" i="8"/>
  <c r="C84" i="8"/>
  <c r="D84" i="8"/>
  <c r="W84" i="8"/>
  <c r="V84" i="8"/>
  <c r="U84" i="8"/>
  <c r="T84" i="8"/>
  <c r="S84" i="8"/>
  <c r="R84" i="8"/>
  <c r="Q84" i="8"/>
  <c r="P84" i="8"/>
  <c r="O84" i="8"/>
  <c r="N84" i="8"/>
  <c r="M84" i="8"/>
  <c r="L84" i="8"/>
  <c r="I84" i="8"/>
  <c r="H84" i="8"/>
  <c r="G84" i="8"/>
  <c r="E84" i="8"/>
  <c r="D10" i="2" l="1"/>
  <c r="D11" i="2"/>
  <c r="D23" i="2" s="1"/>
  <c r="D12" i="2"/>
  <c r="D13" i="2"/>
  <c r="D14" i="2"/>
  <c r="D15" i="2"/>
  <c r="D16" i="2"/>
  <c r="D17" i="2"/>
  <c r="D18" i="2"/>
  <c r="D19" i="2"/>
  <c r="D20" i="2"/>
  <c r="D21" i="2"/>
  <c r="B23" i="2"/>
  <c r="C23" i="2"/>
  <c r="D33" i="2"/>
  <c r="D34" i="2"/>
  <c r="D35" i="2"/>
  <c r="D36" i="2"/>
  <c r="D37" i="2"/>
  <c r="D38" i="2"/>
  <c r="D39" i="2"/>
  <c r="D40" i="2"/>
  <c r="D41" i="2"/>
  <c r="D42" i="2"/>
  <c r="D43" i="2"/>
  <c r="D44" i="2"/>
  <c r="B46" i="2"/>
  <c r="D48" i="2" s="1"/>
  <c r="C46" i="2"/>
  <c r="D46" i="2"/>
  <c r="D57" i="2"/>
  <c r="D58" i="2"/>
  <c r="D70" i="2" s="1"/>
  <c r="D59" i="2"/>
  <c r="D60" i="2"/>
  <c r="D61" i="2"/>
  <c r="D62" i="2"/>
  <c r="D63" i="2"/>
  <c r="D64" i="2"/>
  <c r="D65" i="2"/>
  <c r="D66" i="2"/>
  <c r="D67" i="2"/>
  <c r="D68" i="2"/>
  <c r="B70" i="2"/>
  <c r="C70" i="2"/>
  <c r="D79" i="2"/>
  <c r="D80" i="2"/>
  <c r="D81" i="2"/>
  <c r="D82" i="2"/>
  <c r="D83" i="2"/>
  <c r="D84" i="2"/>
  <c r="D85" i="2"/>
  <c r="D86" i="2"/>
  <c r="D87" i="2"/>
  <c r="D88" i="2"/>
  <c r="D89" i="2"/>
  <c r="D90" i="2"/>
  <c r="B92" i="2"/>
  <c r="D94" i="2" s="1"/>
  <c r="C92" i="2"/>
  <c r="D92" i="2"/>
  <c r="D103" i="2"/>
  <c r="D104" i="2"/>
  <c r="D116" i="2" s="1"/>
  <c r="D105" i="2"/>
  <c r="D106" i="2"/>
  <c r="D107" i="2"/>
  <c r="D108" i="2"/>
  <c r="D109" i="2"/>
  <c r="D110" i="2"/>
  <c r="D111" i="2"/>
  <c r="D112" i="2"/>
  <c r="D113" i="2"/>
  <c r="D114" i="2"/>
  <c r="B116" i="2"/>
  <c r="C116" i="2"/>
  <c r="E12" i="3"/>
  <c r="E13" i="3"/>
  <c r="E14" i="3"/>
  <c r="E15" i="3"/>
  <c r="E16" i="3"/>
  <c r="E17" i="3"/>
  <c r="E18" i="3"/>
  <c r="E19" i="3"/>
  <c r="E20" i="3"/>
  <c r="E21" i="3"/>
  <c r="E22" i="3"/>
  <c r="E23" i="3"/>
  <c r="B25" i="3"/>
  <c r="E27" i="3" s="1"/>
  <c r="C25" i="3"/>
  <c r="D25" i="3"/>
  <c r="E35" i="3"/>
  <c r="E48" i="3" s="1"/>
  <c r="E36" i="3"/>
  <c r="E37" i="3"/>
  <c r="E38" i="3"/>
  <c r="E39" i="3"/>
  <c r="E40" i="3"/>
  <c r="E41" i="3"/>
  <c r="E42" i="3"/>
  <c r="E43" i="3"/>
  <c r="E44" i="3"/>
  <c r="E45" i="3"/>
  <c r="E46" i="3"/>
  <c r="B48" i="3"/>
  <c r="C48" i="3"/>
  <c r="D48" i="3"/>
  <c r="E58" i="3"/>
  <c r="E59" i="3"/>
  <c r="E60" i="3"/>
  <c r="E61" i="3"/>
  <c r="E62" i="3"/>
  <c r="E63" i="3"/>
  <c r="E64" i="3"/>
  <c r="E65" i="3"/>
  <c r="E66" i="3"/>
  <c r="E67" i="3"/>
  <c r="E68" i="3"/>
  <c r="E69" i="3"/>
  <c r="B71" i="3"/>
  <c r="E73" i="3" s="1"/>
  <c r="C71" i="3"/>
  <c r="D71" i="3"/>
  <c r="E81" i="3"/>
  <c r="E94" i="3" s="1"/>
  <c r="E82" i="3"/>
  <c r="E83" i="3"/>
  <c r="E84" i="3"/>
  <c r="E85" i="3"/>
  <c r="E86" i="3"/>
  <c r="E87" i="3"/>
  <c r="E88" i="3"/>
  <c r="E89" i="3"/>
  <c r="E90" i="3"/>
  <c r="E91" i="3"/>
  <c r="E92" i="3"/>
  <c r="B94" i="3"/>
  <c r="C94" i="3"/>
  <c r="D94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B119" i="3"/>
  <c r="E121" i="3" s="1"/>
  <c r="C119" i="3"/>
  <c r="D119" i="3"/>
  <c r="E129" i="3"/>
  <c r="E142" i="3" s="1"/>
  <c r="E130" i="3"/>
  <c r="E131" i="3"/>
  <c r="E132" i="3"/>
  <c r="E133" i="3"/>
  <c r="E134" i="3"/>
  <c r="E135" i="3"/>
  <c r="E136" i="3"/>
  <c r="E137" i="3"/>
  <c r="E138" i="3"/>
  <c r="E139" i="3"/>
  <c r="E140" i="3"/>
  <c r="B142" i="3"/>
  <c r="C142" i="3"/>
  <c r="D142" i="3"/>
  <c r="F10" i="4"/>
  <c r="F11" i="4"/>
  <c r="F12" i="4"/>
  <c r="F13" i="4"/>
  <c r="F14" i="4"/>
  <c r="F15" i="4"/>
  <c r="F16" i="4"/>
  <c r="F17" i="4"/>
  <c r="F18" i="4"/>
  <c r="F19" i="4"/>
  <c r="F20" i="4"/>
  <c r="F21" i="4"/>
  <c r="B22" i="4"/>
  <c r="C22" i="4"/>
  <c r="D22" i="4"/>
  <c r="E22" i="4"/>
  <c r="F22" i="4"/>
  <c r="F28" i="4"/>
  <c r="F29" i="4"/>
  <c r="F30" i="4"/>
  <c r="F31" i="4"/>
  <c r="F32" i="4"/>
  <c r="F33" i="4"/>
  <c r="F34" i="4"/>
  <c r="F35" i="4"/>
  <c r="F36" i="4"/>
  <c r="F37" i="4"/>
  <c r="F38" i="4"/>
  <c r="B39" i="4"/>
  <c r="C39" i="4"/>
  <c r="D39" i="4"/>
  <c r="E39" i="4"/>
  <c r="E94" i="4" s="1"/>
  <c r="F39" i="4"/>
  <c r="F94" i="4" s="1"/>
  <c r="F44" i="4"/>
  <c r="F45" i="4"/>
  <c r="F46" i="4"/>
  <c r="F47" i="4"/>
  <c r="F48" i="4"/>
  <c r="F49" i="4"/>
  <c r="F50" i="4"/>
  <c r="F51" i="4"/>
  <c r="F52" i="4"/>
  <c r="F53" i="4"/>
  <c r="F54" i="4"/>
  <c r="F55" i="4"/>
  <c r="B56" i="4"/>
  <c r="C56" i="4"/>
  <c r="D56" i="4"/>
  <c r="E56" i="4"/>
  <c r="F61" i="4"/>
  <c r="F62" i="4"/>
  <c r="F63" i="4"/>
  <c r="F64" i="4"/>
  <c r="F66" i="4"/>
  <c r="F67" i="4"/>
  <c r="F68" i="4"/>
  <c r="F69" i="4"/>
  <c r="F70" i="4"/>
  <c r="F71" i="4"/>
  <c r="F72" i="4"/>
  <c r="B73" i="4"/>
  <c r="C73" i="4"/>
  <c r="D73" i="4"/>
  <c r="E73" i="4"/>
  <c r="F78" i="4"/>
  <c r="F79" i="4"/>
  <c r="F80" i="4"/>
  <c r="F81" i="4"/>
  <c r="F82" i="4"/>
  <c r="F83" i="4"/>
  <c r="F84" i="4"/>
  <c r="F85" i="4"/>
  <c r="F86" i="4"/>
  <c r="F87" i="4"/>
  <c r="F88" i="4"/>
  <c r="F89" i="4"/>
  <c r="B90" i="4"/>
  <c r="C90" i="4"/>
  <c r="D90" i="4"/>
  <c r="E90" i="4"/>
  <c r="F90" i="4"/>
  <c r="F10" i="1"/>
  <c r="F11" i="1"/>
  <c r="F12" i="1"/>
  <c r="F13" i="1"/>
  <c r="F14" i="1"/>
  <c r="F15" i="1"/>
  <c r="F16" i="1"/>
  <c r="F17" i="1"/>
  <c r="F18" i="1"/>
  <c r="F19" i="1"/>
  <c r="F20" i="1"/>
  <c r="F21" i="1"/>
  <c r="B22" i="1"/>
  <c r="C22" i="1"/>
  <c r="D22" i="1"/>
  <c r="E22" i="1"/>
  <c r="F26" i="1"/>
  <c r="F27" i="1"/>
  <c r="F28" i="1"/>
  <c r="F29" i="1"/>
  <c r="F30" i="1"/>
  <c r="F31" i="1"/>
  <c r="F32" i="1"/>
  <c r="F33" i="1"/>
  <c r="F34" i="1"/>
  <c r="F35" i="1"/>
  <c r="F36" i="1"/>
  <c r="F37" i="1"/>
  <c r="B38" i="1"/>
  <c r="C38" i="1"/>
  <c r="D38" i="1"/>
  <c r="E38" i="1"/>
  <c r="E90" i="1" s="1"/>
  <c r="F42" i="1"/>
  <c r="F43" i="1"/>
  <c r="F44" i="1"/>
  <c r="F45" i="1"/>
  <c r="F46" i="1"/>
  <c r="F47" i="1"/>
  <c r="F48" i="1"/>
  <c r="F49" i="1"/>
  <c r="F50" i="1"/>
  <c r="F51" i="1"/>
  <c r="F52" i="1"/>
  <c r="F53" i="1"/>
  <c r="B54" i="1"/>
  <c r="C54" i="1"/>
  <c r="D54" i="1"/>
  <c r="E54" i="1"/>
  <c r="F58" i="1"/>
  <c r="F59" i="1"/>
  <c r="F60" i="1"/>
  <c r="F61" i="1"/>
  <c r="F62" i="1"/>
  <c r="F63" i="1"/>
  <c r="F64" i="1"/>
  <c r="F65" i="1"/>
  <c r="F66" i="1"/>
  <c r="F67" i="1"/>
  <c r="F68" i="1"/>
  <c r="F69" i="1"/>
  <c r="B70" i="1"/>
  <c r="C70" i="1"/>
  <c r="D70" i="1"/>
  <c r="E70" i="1"/>
  <c r="F70" i="1"/>
  <c r="F74" i="1"/>
  <c r="F75" i="1"/>
  <c r="F76" i="1"/>
  <c r="F77" i="1"/>
  <c r="F78" i="1"/>
  <c r="F79" i="1"/>
  <c r="F80" i="1"/>
  <c r="F81" i="1"/>
  <c r="F82" i="1"/>
  <c r="F83" i="1"/>
  <c r="F84" i="1"/>
  <c r="F85" i="1"/>
  <c r="B86" i="1"/>
  <c r="C86" i="1"/>
  <c r="D86" i="1"/>
  <c r="E86" i="1"/>
  <c r="G10" i="5"/>
  <c r="B11" i="5"/>
  <c r="C11" i="5"/>
  <c r="D11" i="5"/>
  <c r="D22" i="5" s="1"/>
  <c r="F11" i="5"/>
  <c r="G12" i="5"/>
  <c r="G13" i="5"/>
  <c r="G14" i="5"/>
  <c r="G15" i="5"/>
  <c r="G16" i="5"/>
  <c r="G17" i="5"/>
  <c r="G18" i="5"/>
  <c r="G19" i="5"/>
  <c r="G20" i="5"/>
  <c r="G21" i="5"/>
  <c r="B22" i="5"/>
  <c r="E22" i="5"/>
  <c r="F22" i="5"/>
  <c r="F38" i="1" l="1"/>
  <c r="F90" i="1" s="1"/>
  <c r="D62" i="8"/>
  <c r="X73" i="8"/>
  <c r="X84" i="8" s="1"/>
  <c r="F86" i="1"/>
  <c r="F22" i="1"/>
  <c r="F56" i="4"/>
  <c r="E119" i="3"/>
  <c r="E71" i="3"/>
  <c r="E25" i="3"/>
  <c r="G11" i="5"/>
  <c r="F54" i="1"/>
  <c r="F73" i="4"/>
  <c r="E144" i="3"/>
  <c r="E96" i="3"/>
  <c r="E50" i="3"/>
  <c r="D118" i="2"/>
  <c r="D72" i="2"/>
  <c r="D25" i="2"/>
  <c r="G22" i="5"/>
  <c r="C22" i="5"/>
  <c r="U32" i="8" l="1"/>
  <c r="V32" i="8" s="1"/>
  <c r="O32" i="8"/>
  <c r="P32" i="8" s="1"/>
  <c r="G32" i="8"/>
  <c r="H32" i="8" s="1"/>
  <c r="Q32" i="8"/>
  <c r="I32" i="8"/>
  <c r="J32" i="8" s="1"/>
  <c r="M32" i="8"/>
  <c r="N32" i="8" s="1"/>
  <c r="K32" i="8"/>
  <c r="L32" i="8" s="1"/>
  <c r="W32" i="8"/>
  <c r="X32" i="8" s="1"/>
  <c r="E32" i="8"/>
  <c r="F32" i="8" s="1"/>
  <c r="Y32" i="8"/>
  <c r="Z32" i="8" s="1"/>
  <c r="S32" i="8"/>
  <c r="T32" i="8" s="1"/>
  <c r="R32" i="8"/>
  <c r="U31" i="8"/>
  <c r="V31" i="8" s="1"/>
  <c r="W31" i="8"/>
  <c r="X31" i="8" s="1"/>
  <c r="O31" i="8"/>
  <c r="P31" i="8" s="1"/>
  <c r="Y31" i="8"/>
  <c r="Z31" i="8" s="1"/>
  <c r="M31" i="8"/>
  <c r="N31" i="8" s="1"/>
  <c r="E31" i="8"/>
  <c r="F31" i="8" s="1"/>
  <c r="I31" i="8"/>
  <c r="J31" i="8" s="1"/>
  <c r="Q31" i="8"/>
  <c r="R31" i="8" s="1"/>
  <c r="S31" i="8"/>
  <c r="T31" i="8" s="1"/>
  <c r="G31" i="8"/>
  <c r="H31" i="8" s="1"/>
  <c r="K31" i="8"/>
  <c r="L31" i="8" s="1"/>
  <c r="O62" i="8"/>
</calcChain>
</file>

<file path=xl/sharedStrings.xml><?xml version="1.0" encoding="utf-8"?>
<sst xmlns="http://schemas.openxmlformats.org/spreadsheetml/2006/main" count="755" uniqueCount="176">
  <si>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</si>
  <si>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</si>
  <si>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</si>
  <si>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</si>
  <si>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</si>
  <si>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</si>
  <si>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</si>
  <si>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</si>
  <si>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</si>
  <si>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</si>
  <si>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</si>
  <si>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</si>
  <si>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Increase from 4% to 4.5% effective October 1, 2009.</t>
  </si>
  <si>
    <t>Walton County Clerk of Courts &amp; County Comptroller</t>
  </si>
  <si>
    <t>FY 2010 @ 2%</t>
  </si>
  <si>
    <t>FY 2010 @ 1%</t>
  </si>
  <si>
    <t>FY 2010 @ 0.5%</t>
  </si>
  <si>
    <t>FY 2010 Total Collections</t>
  </si>
  <si>
    <t>FY 2011 @ 2%</t>
  </si>
  <si>
    <t>FY 2011 @ 1%</t>
  </si>
  <si>
    <t>FY 2011 @ 0.5%</t>
  </si>
  <si>
    <t>FY 2011 Total Collections</t>
  </si>
  <si>
    <t>TOTAL</t>
  </si>
  <si>
    <t>FY 2012 @ 2%</t>
  </si>
  <si>
    <t>FY 2012 @ 1%</t>
  </si>
  <si>
    <t>FY 2012 @ 0.5%</t>
  </si>
  <si>
    <t>FY 2012 Total Collections</t>
  </si>
  <si>
    <t>FY 2013 @ 2%</t>
  </si>
  <si>
    <t>FY 2013 @ 1%</t>
  </si>
  <si>
    <t>FY 2013 @ 0.5%</t>
  </si>
  <si>
    <t>FY 2013 Total Collections</t>
  </si>
  <si>
    <t>FY 2014 @ 2%</t>
  </si>
  <si>
    <t>FY 2014 @ 1%</t>
  </si>
  <si>
    <t>FY 2014 @ 0.5%</t>
  </si>
  <si>
    <t>FY 2014 Total Collections</t>
  </si>
  <si>
    <t>WALTON COUNTY TOURIST DEVELOPMENT TAX:</t>
  </si>
  <si>
    <t>FISCAL YEAR 1999 - 2003</t>
  </si>
  <si>
    <t>Additional 1% became effective February 1, 1999.</t>
  </si>
  <si>
    <t>MONTH</t>
  </si>
  <si>
    <t>FY 1999</t>
  </si>
  <si>
    <t>@ 2%:</t>
  </si>
  <si>
    <t>@1%:</t>
  </si>
  <si>
    <t>Total Collections</t>
  </si>
  <si>
    <t>TOTALS BY FY:</t>
  </si>
  <si>
    <t>FY 2000</t>
  </si>
  <si>
    <t>FY 2001</t>
  </si>
  <si>
    <t>FY 2002</t>
  </si>
  <si>
    <t>Oct 2001 - Jan 2002:  corrected for customer overpayment</t>
  </si>
  <si>
    <t>FY 2003</t>
  </si>
  <si>
    <t>FISCAL YEAR 2004 - FISCAL YEAR 2009</t>
  </si>
  <si>
    <t>Increase from 3% to 4% effective May 1, 2004.</t>
  </si>
  <si>
    <t>FY 2004</t>
  </si>
  <si>
    <t>FY 2005</t>
  </si>
  <si>
    <t>FY 2006</t>
  </si>
  <si>
    <t>FY 2007</t>
  </si>
  <si>
    <t>FY 2008</t>
  </si>
  <si>
    <t>FY 2009</t>
  </si>
  <si>
    <t>Decrease from 4.5% to 4% effective October 1, 2014.  Half-cent figures shown below are attributable to prior period collections at the 4.5% rate.</t>
  </si>
  <si>
    <t>Collection History - FY2010 to FY2014</t>
  </si>
  <si>
    <t xml:space="preserve">	</t>
  </si>
  <si>
    <t>FY15 @ 2%</t>
  </si>
  <si>
    <t>FY15 @ 1%</t>
  </si>
  <si>
    <t>FY15 @ 0.5%</t>
  </si>
  <si>
    <t>FY15 TOTAL</t>
  </si>
  <si>
    <t>FY16 @ 2%</t>
  </si>
  <si>
    <t>FY16 @ 1%</t>
  </si>
  <si>
    <t>FY16 @ 0.5%</t>
  </si>
  <si>
    <t>FY16 TOTAL</t>
  </si>
  <si>
    <t>FY17 @ 2%</t>
  </si>
  <si>
    <t>FY17 @ 1%</t>
  </si>
  <si>
    <t>FY17 @ 0.5%</t>
  </si>
  <si>
    <t>FY17 TOTAL</t>
  </si>
  <si>
    <t>FY18 @ 2%</t>
  </si>
  <si>
    <t>FY18 @ 1%</t>
  </si>
  <si>
    <t>FY18 @ 0.5%</t>
  </si>
  <si>
    <t>FY18 TOTAL</t>
  </si>
  <si>
    <t>FY19 @ 2%</t>
  </si>
  <si>
    <t>FY19 @ 1%</t>
  </si>
  <si>
    <t>FY19 @ 0.5%</t>
  </si>
  <si>
    <t>FY19 TOTAL</t>
  </si>
  <si>
    <t>FY20 @ 2%</t>
  </si>
  <si>
    <t>FY20 @ 1%</t>
  </si>
  <si>
    <t>FY20 @ 0.5%</t>
  </si>
  <si>
    <t>Collection History - FY2020 to Present</t>
  </si>
  <si>
    <t>Increase from 4% to 5% effective January 1, 2020.  Half-cent figures shown below are attributable to prior period collections at the 4.5% rate that was in effect from October 1, 2009 to September 30, 2014.</t>
  </si>
  <si>
    <t>FY20 TOTAL</t>
  </si>
  <si>
    <t>Collection History - FY 2015 to 2019</t>
  </si>
  <si>
    <t>FY TOTAL</t>
  </si>
  <si>
    <t>FY99 @ 2%</t>
  </si>
  <si>
    <t>FY00 @ 2%</t>
  </si>
  <si>
    <t>FY01 @ 2%</t>
  </si>
  <si>
    <t>FY02 @ 2%</t>
  </si>
  <si>
    <t>FY03 @ 2%</t>
  </si>
  <si>
    <t>FY04 @ 2%</t>
  </si>
  <si>
    <t>FY05 @ 2%</t>
  </si>
  <si>
    <t>FY06 @ 2%</t>
  </si>
  <si>
    <t>FY07 @ 2%</t>
  </si>
  <si>
    <t>FY08 @ 2%</t>
  </si>
  <si>
    <t>FY09 @ 2%</t>
  </si>
  <si>
    <t>FY10 @ 2%</t>
  </si>
  <si>
    <t>FY11 @ 2%</t>
  </si>
  <si>
    <t>FY12 @ 2%</t>
  </si>
  <si>
    <t>FY13 @ 2%</t>
  </si>
  <si>
    <t>FY14 @ 2%</t>
  </si>
  <si>
    <t xml:space="preserve"> $ Change</t>
  </si>
  <si>
    <t xml:space="preserve"> % Change</t>
  </si>
  <si>
    <t>Oct @ 2%</t>
  </si>
  <si>
    <t>Oct-Nov @ 2%</t>
  </si>
  <si>
    <t>Oct-Dec @ 2%</t>
  </si>
  <si>
    <t>Oct-Jan @ 2%</t>
  </si>
  <si>
    <t>Oct-Feb @ 2%</t>
  </si>
  <si>
    <t>Oct-Mar @ 2%</t>
  </si>
  <si>
    <t>Oct-Apr @ 2%</t>
  </si>
  <si>
    <t>Oct-May @ 2%</t>
  </si>
  <si>
    <t>Oct-Jun @ 2%</t>
  </si>
  <si>
    <t>Oct-Jul @ 2%</t>
  </si>
  <si>
    <t>Oct-Aug @ 2%</t>
  </si>
  <si>
    <t>Oct-Sept @ 2%</t>
  </si>
  <si>
    <t>FYTD Cumulative Year-Over-Year Comparisons by Month at 2% TDT</t>
  </si>
  <si>
    <t xml:space="preserve">(as of </t>
  </si>
  <si>
    <t>FYTD
@ 2%</t>
  </si>
  <si>
    <t>TOTALS FY99-FY03:</t>
  </si>
  <si>
    <t>TOTALS FY04-09</t>
  </si>
  <si>
    <t>TOTALS FY10-14</t>
  </si>
  <si>
    <t>@ 2%</t>
  </si>
  <si>
    <t>@ 3%</t>
  </si>
  <si>
    <t>@ 4%</t>
  </si>
  <si>
    <t>@ 0.5%</t>
  </si>
  <si>
    <t>TOTAL @ 4%</t>
  </si>
  <si>
    <t>TOTAL @ 4.5%</t>
  </si>
  <si>
    <t>Total @ 4%</t>
  </si>
  <si>
    <t>Total @ 3%</t>
  </si>
  <si>
    <r>
      <rPr>
        <b/>
        <sz val="11"/>
        <color rgb="FFFF0000"/>
        <rFont val="Calisto MT"/>
        <family val="1"/>
      </rPr>
      <t>*</t>
    </r>
    <r>
      <rPr>
        <sz val="11"/>
        <rFont val="Calisto MT"/>
        <family val="1"/>
      </rPr>
      <t>As mentioned above, any 0.5% TDT collections noted here are the result of prior period collections.</t>
    </r>
  </si>
  <si>
    <r>
      <t>@ 0.5%</t>
    </r>
    <r>
      <rPr>
        <b/>
        <sz val="11"/>
        <color rgb="FFFF0000"/>
        <rFont val="Calisto MT"/>
        <family val="1"/>
      </rPr>
      <t>*</t>
    </r>
  </si>
  <si>
    <t>FY21TOTAL</t>
  </si>
  <si>
    <t>FY21 @ 2%</t>
  </si>
  <si>
    <t>FY21 @ 1%</t>
  </si>
  <si>
    <t>FY21 @ 0.5%</t>
  </si>
  <si>
    <t>FY21 TOTAL</t>
  </si>
  <si>
    <t>Below is a cumulative fiscal-year-to-date year-over-year comparison per month going back to 2000 using 2% TDT to eliminate the issue of tax rate changes. We have taken the available monthly collections per the Collection History Report from 1999-present, summed a year-to-date total for each period, &amp; compared those to the PY FYTD to get $ &amp; % change.  In the 1st table, you will see some greyed out fields which indicate that reporting has not yet been completed for those future periods.</t>
  </si>
  <si>
    <t>SOUTH WALTON COLLECTIONS HISTORY FOR</t>
  </si>
  <si>
    <t>South Walton Tourist Development Tax</t>
  </si>
  <si>
    <t>Totals per SW Collection History Report Data (1999-Present):</t>
  </si>
  <si>
    <t>SOUTH WALTON TDT COLLECTIONS @ 2% FY99-PRESENT</t>
  </si>
  <si>
    <t>SOUTH WALTON FYTD CUMULATIVE YOY CHANGE @ 2%</t>
  </si>
  <si>
    <t>corrected 8/3/21</t>
  </si>
  <si>
    <t>FY22 @ 2%</t>
  </si>
  <si>
    <t>FY22TOTAL</t>
  </si>
  <si>
    <t>FY22 @ 1%</t>
  </si>
  <si>
    <t>FY22 @ 0.5%</t>
  </si>
  <si>
    <t>FY22 TOTAL</t>
  </si>
  <si>
    <t>FY23 @ 2%</t>
  </si>
  <si>
    <t>FY23 @ 1%</t>
  </si>
  <si>
    <t>FY23 @ 0.5%</t>
  </si>
  <si>
    <t>FY23TOTAL</t>
  </si>
  <si>
    <t>FY23 TOTAL</t>
  </si>
  <si>
    <t>FY24 @ 2%</t>
  </si>
  <si>
    <t>FY24 @ 1%</t>
  </si>
  <si>
    <t>FY24 @ 0.5%</t>
  </si>
  <si>
    <t>FY24 TOTAL</t>
  </si>
  <si>
    <t>FY24TOTAL</t>
  </si>
  <si>
    <t>FY25 @ 2%</t>
  </si>
  <si>
    <t>FY25 @ 1%</t>
  </si>
  <si>
    <t>FY25 @ 0.5%</t>
  </si>
  <si>
    <t>FY25 TOTAL</t>
  </si>
  <si>
    <t>FY25TOTAL</t>
  </si>
  <si>
    <t>FY26 @ 2%</t>
  </si>
  <si>
    <t>FY26 @ 1%</t>
  </si>
  <si>
    <t>FY26 @ 0.5%</t>
  </si>
  <si>
    <t>FY26 TOTAL</t>
  </si>
  <si>
    <t>FY26TOTAL</t>
  </si>
  <si>
    <r>
      <t>= Total SW TDT</t>
    </r>
    <r>
      <rPr>
        <b/>
        <sz val="10"/>
        <color rgb="FFFF0000"/>
        <rFont val="Calisto MT"/>
        <family val="1"/>
      </rPr>
      <t xml:space="preserve"> @2% </t>
    </r>
    <r>
      <rPr>
        <b/>
        <sz val="10"/>
        <rFont val="Calisto MT"/>
        <family val="1"/>
      </rPr>
      <t>FY99-FY25</t>
    </r>
  </si>
  <si>
    <r>
      <t xml:space="preserve">= Total SW TDT </t>
    </r>
    <r>
      <rPr>
        <b/>
        <sz val="10"/>
        <color rgb="FFFF0000"/>
        <rFont val="Calisto MT"/>
        <family val="1"/>
      </rPr>
      <t>@ 2%</t>
    </r>
    <r>
      <rPr>
        <b/>
        <sz val="10"/>
        <rFont val="Calisto MT"/>
        <family val="1"/>
      </rPr>
      <t xml:space="preserve"> FY99-FY26 to date</t>
    </r>
  </si>
  <si>
    <t>= TOTAL SW TDT COLLECTIONS FY99-FY25</t>
  </si>
  <si>
    <t>= TOTAL SW TDT COLLECTIONS FY99-FY26 to date</t>
  </si>
  <si>
    <t>3/10/2026)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</si>
</sst>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%;\ \(0.00%\)"/>
    <numFmt numFmtId="166" formatCode="[$$-409]#,##0.00_);\([$$-409]#,##0.00\)"/>
    <numFmt numFmtId="167" formatCode="&quot;$&quot;#,##0.00"/>
  </numFmts>
  <fonts count="3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Calisto MT"/>
      <family val="1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sto MT"/>
      <family val="1"/>
    </font>
    <font>
      <sz val="8"/>
      <name val="Arial"/>
      <family val="2"/>
    </font>
    <font>
      <b/>
      <sz val="10"/>
      <name val="Calisto MT"/>
      <family val="1"/>
    </font>
    <font>
      <b/>
      <sz val="11"/>
      <name val="Calisto MT"/>
      <family val="1"/>
    </font>
    <font>
      <sz val="11"/>
      <name val="Calisto MT"/>
      <family val="1"/>
    </font>
    <font>
      <b/>
      <i/>
      <sz val="11"/>
      <name val="Calisto MT"/>
      <family val="1"/>
    </font>
    <font>
      <i/>
      <sz val="11"/>
      <name val="Calisto MT"/>
      <family val="1"/>
    </font>
    <font>
      <b/>
      <u/>
      <sz val="11"/>
      <name val="Calisto MT"/>
      <family val="1"/>
    </font>
    <font>
      <b/>
      <i/>
      <sz val="10"/>
      <name val="Calisto MT"/>
      <family val="1"/>
    </font>
    <font>
      <i/>
      <sz val="10"/>
      <name val="Calisto MT"/>
      <family val="1"/>
    </font>
    <font>
      <b/>
      <u/>
      <sz val="10"/>
      <name val="Calisto MT"/>
      <family val="1"/>
    </font>
    <font>
      <sz val="7.8"/>
      <name val="Calisto MT"/>
      <family val="1"/>
    </font>
    <font>
      <b/>
      <sz val="11"/>
      <color rgb="FFFF0000"/>
      <name val="Calisto MT"/>
      <family val="1"/>
    </font>
    <font>
      <b/>
      <sz val="10"/>
      <color rgb="FFFF0000"/>
      <name val="Calisto MT"/>
      <family val="1"/>
    </font>
    <font>
      <i/>
      <sz val="11"/>
      <color rgb="FFFF0000"/>
      <name val="Calisto MT"/>
      <family val="1"/>
    </font>
    <font>
      <sz val="11"/>
      <color theme="1"/>
      <name val="Calisto MT"/>
      <family val="1"/>
    </font>
    <font>
      <b/>
      <sz val="10"/>
      <color rgb="FF002060"/>
      <name val="Calisto MT"/>
      <family val="1"/>
    </font>
    <font>
      <sz val="10"/>
      <color rgb="FF002060"/>
      <name val="Calisto MT"/>
      <family val="1"/>
    </font>
    <font>
      <sz val="10"/>
      <color theme="0" tint="-0.499984740745262"/>
      <name val="Calisto MT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/>
    <xf numFmtId="39" fontId="2" fillId="0" borderId="0" xfId="0" applyNumberFormat="1" applyFont="1" applyAlignment="1">
      <alignment horizontal="right"/>
    </xf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39" fontId="4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9" fontId="6" fillId="0" borderId="0" xfId="0" quotePrefix="1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0" fontId="6" fillId="0" borderId="0" xfId="0" applyFont="1"/>
    <xf numFmtId="7" fontId="4" fillId="0" borderId="0" xfId="0" applyNumberFormat="1" applyFont="1" applyAlignment="1">
      <alignment horizontal="right"/>
    </xf>
    <xf numFmtId="7" fontId="2" fillId="0" borderId="0" xfId="0" applyNumberFormat="1" applyFont="1" applyAlignment="1">
      <alignment horizontal="right"/>
    </xf>
    <xf numFmtId="7" fontId="2" fillId="0" borderId="0" xfId="0" applyNumberFormat="1" applyFont="1"/>
    <xf numFmtId="39" fontId="0" fillId="0" borderId="0" xfId="0" applyNumberFormat="1" applyAlignment="1">
      <alignment horizontal="right"/>
    </xf>
    <xf numFmtId="39" fontId="2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/>
    <xf numFmtId="39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9" fontId="5" fillId="0" borderId="0" xfId="0" applyNumberFormat="1" applyFont="1"/>
    <xf numFmtId="9" fontId="5" fillId="0" borderId="0" xfId="0" applyNumberFormat="1" applyFont="1" applyAlignment="1">
      <alignment horizontal="right"/>
    </xf>
    <xf numFmtId="39" fontId="8" fillId="0" borderId="0" xfId="0" applyNumberFormat="1" applyFont="1"/>
    <xf numFmtId="39" fontId="8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9" fillId="0" borderId="0" xfId="0" applyNumberFormat="1" applyFont="1" applyAlignment="1">
      <alignment shrinkToFit="1"/>
    </xf>
    <xf numFmtId="4" fontId="9" fillId="0" borderId="0" xfId="0" applyNumberFormat="1" applyFont="1" applyAlignment="1">
      <alignment horizontal="center" shrinkToFit="1"/>
    </xf>
    <xf numFmtId="44" fontId="3" fillId="0" borderId="0" xfId="0" applyNumberFormat="1" applyFont="1"/>
    <xf numFmtId="10" fontId="3" fillId="0" borderId="0" xfId="20" applyNumberFormat="1" applyFont="1"/>
    <xf numFmtId="10" fontId="2" fillId="0" borderId="0" xfId="20" applyNumberFormat="1" applyFont="1"/>
    <xf numFmtId="0" fontId="12" fillId="0" borderId="0" xfId="0" applyFont="1"/>
    <xf numFmtId="0" fontId="14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7" xfId="0" applyFont="1" applyBorder="1"/>
    <xf numFmtId="0" fontId="15" fillId="0" borderId="0" xfId="0" applyFont="1"/>
    <xf numFmtId="39" fontId="16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9" fontId="18" fillId="0" borderId="0" xfId="0" applyNumberFormat="1" applyFont="1"/>
    <xf numFmtId="164" fontId="18" fillId="0" borderId="0" xfId="0" applyNumberFormat="1" applyFont="1" applyAlignment="1">
      <alignment horizontal="right"/>
    </xf>
    <xf numFmtId="9" fontId="18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39" fontId="15" fillId="0" borderId="2" xfId="0" applyNumberFormat="1" applyFont="1" applyBorder="1" applyAlignment="1">
      <alignment horizontal="center" wrapText="1"/>
    </xf>
    <xf numFmtId="44" fontId="16" fillId="0" borderId="0" xfId="9" applyFont="1"/>
    <xf numFmtId="44" fontId="16" fillId="0" borderId="0" xfId="9" applyFont="1" applyFill="1"/>
    <xf numFmtId="44" fontId="16" fillId="0" borderId="0" xfId="7" applyFont="1" applyFill="1" applyAlignment="1">
      <alignment horizontal="right"/>
    </xf>
    <xf numFmtId="44" fontId="16" fillId="0" borderId="0" xfId="0" applyNumberFormat="1" applyFont="1"/>
    <xf numFmtId="10" fontId="16" fillId="0" borderId="0" xfId="20" applyNumberFormat="1" applyFont="1" applyAlignment="1">
      <alignment horizontal="left" indent="5"/>
    </xf>
    <xf numFmtId="7" fontId="15" fillId="0" borderId="0" xfId="0" applyNumberFormat="1" applyFont="1" applyAlignment="1">
      <alignment horizontal="right"/>
    </xf>
    <xf numFmtId="44" fontId="16" fillId="0" borderId="1" xfId="7" applyFont="1" applyBorder="1" applyAlignment="1">
      <alignment horizontal="right"/>
    </xf>
    <xf numFmtId="44" fontId="16" fillId="0" borderId="0" xfId="8" applyFont="1"/>
    <xf numFmtId="44" fontId="16" fillId="0" borderId="0" xfId="11" applyFont="1"/>
    <xf numFmtId="44" fontId="16" fillId="0" borderId="0" xfId="7" applyFont="1" applyFill="1"/>
    <xf numFmtId="10" fontId="16" fillId="0" borderId="0" xfId="20" applyNumberFormat="1" applyFont="1" applyFill="1"/>
    <xf numFmtId="44" fontId="16" fillId="0" borderId="0" xfId="7" applyFont="1"/>
    <xf numFmtId="44" fontId="16" fillId="0" borderId="0" xfId="7" applyFont="1" applyAlignment="1">
      <alignment horizontal="right"/>
    </xf>
    <xf numFmtId="4" fontId="16" fillId="0" borderId="0" xfId="0" applyNumberFormat="1" applyFont="1"/>
    <xf numFmtId="10" fontId="16" fillId="0" borderId="0" xfId="20" applyNumberFormat="1" applyFont="1"/>
    <xf numFmtId="44" fontId="16" fillId="0" borderId="0" xfId="13" applyFont="1"/>
    <xf numFmtId="0" fontId="18" fillId="0" borderId="0" xfId="0" applyFont="1"/>
    <xf numFmtId="0" fontId="19" fillId="0" borderId="0" xfId="0" applyFont="1" applyAlignment="1">
      <alignment horizontal="right"/>
    </xf>
    <xf numFmtId="43" fontId="16" fillId="0" borderId="0" xfId="0" applyNumberFormat="1" applyFont="1"/>
    <xf numFmtId="43" fontId="16" fillId="0" borderId="0" xfId="0" applyNumberFormat="1" applyFont="1" applyAlignment="1">
      <alignment horizontal="right"/>
    </xf>
    <xf numFmtId="39" fontId="16" fillId="0" borderId="0" xfId="0" applyNumberFormat="1" applyFont="1"/>
    <xf numFmtId="39" fontId="16" fillId="0" borderId="1" xfId="0" applyNumberFormat="1" applyFont="1" applyBorder="1" applyAlignment="1">
      <alignment horizontal="right"/>
    </xf>
    <xf numFmtId="43" fontId="16" fillId="0" borderId="0" xfId="3" applyFont="1" applyFill="1" applyAlignment="1">
      <alignment horizontal="left"/>
    </xf>
    <xf numFmtId="43" fontId="16" fillId="0" borderId="0" xfId="3" applyFont="1" applyFill="1" applyAlignment="1">
      <alignment horizontal="right"/>
    </xf>
    <xf numFmtId="43" fontId="16" fillId="0" borderId="0" xfId="3" applyFont="1" applyFill="1"/>
    <xf numFmtId="43" fontId="16" fillId="0" borderId="0" xfId="3" applyFont="1" applyFill="1" applyAlignment="1"/>
    <xf numFmtId="0" fontId="15" fillId="2" borderId="0" xfId="0" applyFont="1" applyFill="1" applyAlignment="1">
      <alignment horizontal="right"/>
    </xf>
    <xf numFmtId="43" fontId="16" fillId="2" borderId="0" xfId="3" applyFont="1" applyFill="1"/>
    <xf numFmtId="43" fontId="16" fillId="2" borderId="0" xfId="3" applyFont="1" applyFill="1" applyAlignment="1">
      <alignment horizontal="right"/>
    </xf>
    <xf numFmtId="39" fontId="16" fillId="2" borderId="0" xfId="0" applyNumberFormat="1" applyFont="1" applyFill="1" applyAlignment="1">
      <alignment horizontal="right"/>
    </xf>
    <xf numFmtId="43" fontId="16" fillId="2" borderId="0" xfId="0" applyNumberFormat="1" applyFont="1" applyFill="1"/>
    <xf numFmtId="43" fontId="16" fillId="0" borderId="0" xfId="3" applyFont="1" applyAlignment="1">
      <alignment horizontal="right"/>
    </xf>
    <xf numFmtId="43" fontId="16" fillId="0" borderId="0" xfId="3" applyFont="1" applyAlignment="1">
      <alignment horizontal="center"/>
    </xf>
    <xf numFmtId="0" fontId="15" fillId="3" borderId="0" xfId="0" applyFont="1" applyFill="1" applyAlignment="1">
      <alignment horizontal="right"/>
    </xf>
    <xf numFmtId="43" fontId="16" fillId="3" borderId="0" xfId="3" applyFont="1" applyFill="1"/>
    <xf numFmtId="43" fontId="16" fillId="3" borderId="0" xfId="3" applyFont="1" applyFill="1" applyAlignment="1">
      <alignment horizontal="right"/>
    </xf>
    <xf numFmtId="43" fontId="16" fillId="0" borderId="0" xfId="2" applyFont="1" applyFill="1"/>
    <xf numFmtId="43" fontId="16" fillId="0" borderId="0" xfId="2" applyFont="1" applyFill="1" applyAlignment="1">
      <alignment horizontal="right"/>
    </xf>
    <xf numFmtId="43" fontId="16" fillId="0" borderId="0" xfId="2" applyFont="1" applyFill="1" applyAlignment="1"/>
    <xf numFmtId="43" fontId="16" fillId="0" borderId="0" xfId="2" applyFont="1" applyFill="1" applyAlignment="1">
      <alignment horizontal="left"/>
    </xf>
    <xf numFmtId="39" fontId="16" fillId="0" borderId="0" xfId="0" applyNumberFormat="1" applyFont="1" applyAlignment="1">
      <alignment horizontal="right" wrapText="1"/>
    </xf>
    <xf numFmtId="9" fontId="18" fillId="0" borderId="0" xfId="0" applyNumberFormat="1" applyFont="1" applyAlignment="1">
      <alignment horizontal="right" wrapText="1"/>
    </xf>
    <xf numFmtId="39" fontId="16" fillId="0" borderId="1" xfId="0" applyNumberFormat="1" applyFont="1" applyBorder="1" applyAlignment="1">
      <alignment horizontal="right" wrapText="1"/>
    </xf>
    <xf numFmtId="39" fontId="16" fillId="2" borderId="0" xfId="0" applyNumberFormat="1" applyFont="1" applyFill="1" applyAlignment="1">
      <alignment horizontal="right" wrapText="1"/>
    </xf>
    <xf numFmtId="39" fontId="16" fillId="3" borderId="0" xfId="0" applyNumberFormat="1" applyFont="1" applyFill="1" applyAlignment="1">
      <alignment horizontal="right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20" fillId="0" borderId="0" xfId="0" applyFont="1"/>
    <xf numFmtId="9" fontId="12" fillId="0" borderId="0" xfId="20" applyFont="1" applyAlignment="1">
      <alignment horizontal="center"/>
    </xf>
    <xf numFmtId="9" fontId="12" fillId="0" borderId="0" xfId="20" applyFont="1"/>
    <xf numFmtId="0" fontId="14" fillId="0" borderId="7" xfId="0" applyFont="1" applyBorder="1" applyAlignment="1">
      <alignment horizontal="right"/>
    </xf>
    <xf numFmtId="7" fontId="14" fillId="0" borderId="7" xfId="0" applyNumberFormat="1" applyFont="1" applyBorder="1" applyAlignment="1">
      <alignment horizontal="center"/>
    </xf>
    <xf numFmtId="39" fontId="12" fillId="0" borderId="0" xfId="0" applyNumberFormat="1" applyFont="1"/>
    <xf numFmtId="44" fontId="12" fillId="0" borderId="3" xfId="0" applyNumberFormat="1" applyFont="1" applyBorder="1"/>
    <xf numFmtId="0" fontId="14" fillId="0" borderId="3" xfId="0" applyFont="1" applyBorder="1" applyAlignment="1">
      <alignment horizontal="right"/>
    </xf>
    <xf numFmtId="7" fontId="14" fillId="0" borderId="3" xfId="0" applyNumberFormat="1" applyFont="1" applyBorder="1" applyAlignment="1">
      <alignment horizontal="right"/>
    </xf>
    <xf numFmtId="49" fontId="14" fillId="4" borderId="7" xfId="0" applyNumberFormat="1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165" fontId="12" fillId="5" borderId="3" xfId="20" applyNumberFormat="1" applyFont="1" applyFill="1" applyBorder="1" applyAlignment="1">
      <alignment horizontal="right"/>
    </xf>
    <xf numFmtId="49" fontId="12" fillId="0" borderId="0" xfId="0" applyNumberFormat="1" applyFont="1" applyAlignment="1">
      <alignment horizontal="right"/>
    </xf>
    <xf numFmtId="14" fontId="12" fillId="0" borderId="0" xfId="0" applyNumberFormat="1" applyFont="1" applyAlignment="1">
      <alignment horizontal="left"/>
    </xf>
    <xf numFmtId="39" fontId="15" fillId="0" borderId="2" xfId="0" quotePrefix="1" applyNumberFormat="1" applyFont="1" applyBorder="1" applyAlignment="1">
      <alignment horizontal="right"/>
    </xf>
    <xf numFmtId="39" fontId="15" fillId="0" borderId="2" xfId="0" applyNumberFormat="1" applyFont="1" applyBorder="1" applyAlignment="1">
      <alignment horizontal="right" wrapText="1"/>
    </xf>
    <xf numFmtId="39" fontId="15" fillId="0" borderId="10" xfId="0" applyNumberFormat="1" applyFont="1" applyBorder="1" applyAlignment="1">
      <alignment horizontal="right"/>
    </xf>
    <xf numFmtId="0" fontId="24" fillId="0" borderId="0" xfId="0" applyFont="1"/>
    <xf numFmtId="0" fontId="26" fillId="0" borderId="0" xfId="0" applyFont="1"/>
    <xf numFmtId="44" fontId="27" fillId="0" borderId="0" xfId="7" applyFont="1"/>
    <xf numFmtId="0" fontId="28" fillId="0" borderId="0" xfId="0" quotePrefix="1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44" fontId="14" fillId="0" borderId="8" xfId="7" applyFont="1" applyBorder="1"/>
    <xf numFmtId="44" fontId="14" fillId="0" borderId="3" xfId="7" applyFont="1" applyBorder="1"/>
    <xf numFmtId="44" fontId="12" fillId="4" borderId="3" xfId="7" applyFont="1" applyFill="1" applyBorder="1" applyAlignment="1">
      <alignment horizontal="right"/>
    </xf>
    <xf numFmtId="44" fontId="12" fillId="0" borderId="3" xfId="7" applyFont="1" applyBorder="1"/>
    <xf numFmtId="44" fontId="30" fillId="4" borderId="3" xfId="7" applyFont="1" applyFill="1" applyBorder="1" applyAlignment="1">
      <alignment horizontal="right"/>
    </xf>
    <xf numFmtId="165" fontId="30" fillId="5" borderId="3" xfId="20" applyNumberFormat="1" applyFont="1" applyFill="1" applyBorder="1" applyAlignment="1">
      <alignment horizontal="right"/>
    </xf>
    <xf numFmtId="0" fontId="18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21" fillId="0" borderId="0" xfId="0" applyFont="1" applyAlignment="1">
      <alignment horizontal="left" wrapText="1"/>
    </xf>
    <xf numFmtId="166" fontId="28" fillId="0" borderId="0" xfId="7" applyNumberFormat="1" applyFont="1" applyAlignment="1">
      <alignment horizontal="right"/>
    </xf>
    <xf numFmtId="167" fontId="14" fillId="0" borderId="0" xfId="21" applyNumberFormat="1" applyFont="1" applyBorder="1" applyAlignment="1">
      <alignment horizontal="right"/>
    </xf>
    <xf numFmtId="0" fontId="14" fillId="0" borderId="0" xfId="0" quotePrefix="1" applyFont="1" applyAlignment="1">
      <alignment horizontal="left"/>
    </xf>
    <xf numFmtId="0" fontId="23" fillId="0" borderId="9" xfId="0" applyFont="1" applyBorder="1" applyAlignment="1">
      <alignment horizontal="center" textRotation="45" wrapText="1"/>
    </xf>
    <xf numFmtId="0" fontId="23" fillId="0" borderId="7" xfId="0" applyFont="1" applyBorder="1" applyAlignment="1">
      <alignment horizontal="center" textRotation="45" wrapText="1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39" fontId="15" fillId="0" borderId="0" xfId="0" applyNumberFormat="1" applyFont="1" applyAlignment="1">
      <alignment horizontal="center" wrapText="1"/>
    </xf>
    <xf numFmtId="39" fontId="15" fillId="0" borderId="2" xfId="0" applyNumberFormat="1" applyFont="1" applyBorder="1" applyAlignment="1">
      <alignment horizontal="center" wrapText="1"/>
    </xf>
  </cellXfs>
  <cellStyles count="22">
    <cellStyle name="Comma" xfId="21" builtinId="3"/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2 3 2" xfId="4" xr:uid="{00000000-0005-0000-0000-000003000000}"/>
    <cellStyle name="Comma 3" xfId="5" xr:uid="{00000000-0005-0000-0000-000004000000}"/>
    <cellStyle name="Comma 3 2" xfId="6" xr:uid="{00000000-0005-0000-0000-000005000000}"/>
    <cellStyle name="Currency" xfId="7" builtinId="4"/>
    <cellStyle name="Currency 2" xfId="8" xr:uid="{00000000-0005-0000-0000-000007000000}"/>
    <cellStyle name="Currency 2 2" xfId="9" xr:uid="{00000000-0005-0000-0000-000008000000}"/>
    <cellStyle name="Currency 3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5" xfId="13" xr:uid="{00000000-0005-0000-0000-00000C000000}"/>
    <cellStyle name="Normal" xfId="0" builtinId="0"/>
    <cellStyle name="Normal 2" xfId="14" xr:uid="{00000000-0005-0000-0000-00000E000000}"/>
    <cellStyle name="Percent" xfId="20" builtinId="5"/>
    <cellStyle name="Percent 2" xfId="15" xr:uid="{00000000-0005-0000-0000-00000F000000}"/>
    <cellStyle name="Percent 2 2" xfId="16" xr:uid="{00000000-0005-0000-0000-000010000000}"/>
    <cellStyle name="Percent 3" xfId="17" xr:uid="{00000000-0005-0000-0000-000011000000}"/>
    <cellStyle name="Percent 3 2" xfId="18" xr:uid="{00000000-0005-0000-0000-000012000000}"/>
    <cellStyle name="Percent 4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5838-B71A-4621-A6CE-6BF31A048A90}">
  <sheetPr>
    <tabColor theme="1"/>
  </sheetPr>
  <dimension ref="A1:AD95"/>
  <sheetViews>
    <sheetView topLeftCell="A10" zoomScaleNormal="100" workbookViewId="0">
      <selection activeCell="H87" sqref="H87"/>
    </sheetView>
  </sheetViews>
  <sheetFormatPr defaultColWidth="9.1796875" defaultRowHeight="13" x14ac:dyDescent="0.3"/>
  <cols>
    <col min="1" max="1" width="1.453125" style="34" customWidth="1"/>
    <col min="2" max="2" width="10.7265625" style="34" customWidth="1"/>
    <col min="3" max="3" width="14.54296875" style="34" bestFit="1" customWidth="1"/>
    <col min="4" max="4" width="13.1796875" style="34" bestFit="1" customWidth="1"/>
    <col min="5" max="5" width="13.81640625" style="34" bestFit="1" customWidth="1"/>
    <col min="6" max="6" width="13.1796875" style="34" bestFit="1" customWidth="1"/>
    <col min="7" max="7" width="13.81640625" style="34" bestFit="1" customWidth="1"/>
    <col min="8" max="14" width="14.1796875" style="34" bestFit="1" customWidth="1"/>
    <col min="15" max="15" width="15.453125" style="34" customWidth="1"/>
    <col min="16" max="16" width="13.26953125" style="34" bestFit="1" customWidth="1"/>
    <col min="17" max="17" width="14.1796875" style="34" bestFit="1" customWidth="1"/>
    <col min="18" max="18" width="13.1796875" style="34" bestFit="1" customWidth="1"/>
    <col min="19" max="19" width="14.54296875" style="34" bestFit="1" customWidth="1"/>
    <col min="20" max="20" width="14.1796875" style="34" bestFit="1" customWidth="1"/>
    <col min="21" max="21" width="14.54296875" style="34" bestFit="1" customWidth="1"/>
    <col min="22" max="22" width="14.26953125" style="34" bestFit="1" customWidth="1"/>
    <col min="23" max="23" width="14.81640625" style="34" bestFit="1" customWidth="1"/>
    <col min="24" max="24" width="14.1796875" style="34" bestFit="1" customWidth="1"/>
    <col min="25" max="25" width="14.81640625" style="34" customWidth="1"/>
    <col min="26" max="26" width="14" style="34" customWidth="1"/>
    <col min="27" max="27" width="14.81640625" style="34" bestFit="1" customWidth="1"/>
    <col min="28" max="28" width="14.1796875" style="34" bestFit="1" customWidth="1"/>
    <col min="29" max="29" width="13" style="34" bestFit="1" customWidth="1"/>
    <col min="30" max="30" width="14.26953125" style="34" bestFit="1" customWidth="1"/>
    <col min="31" max="16384" width="9.1796875" style="34"/>
  </cols>
  <sheetData>
    <row r="1" spans="1:30" x14ac:dyDescent="0.3">
      <c r="A1" s="94" t="s">
        <v>13</v>
      </c>
    </row>
    <row r="2" spans="1:30" x14ac:dyDescent="0.3">
      <c r="A2" s="94" t="s">
        <v>141</v>
      </c>
    </row>
    <row r="3" spans="1:30" x14ac:dyDescent="0.3">
      <c r="A3" s="95" t="s">
        <v>118</v>
      </c>
    </row>
    <row r="4" spans="1:30" x14ac:dyDescent="0.3">
      <c r="A4" s="95"/>
    </row>
    <row r="5" spans="1:30" ht="12.75" customHeight="1" x14ac:dyDescent="0.3">
      <c r="A5" s="130" t="s">
        <v>139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1:30" ht="12.75" customHeight="1" x14ac:dyDescent="0.3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30" ht="13.5" thickBot="1" x14ac:dyDescent="0.35">
      <c r="A7" s="95"/>
    </row>
    <row r="8" spans="1:30" ht="13.5" thickBot="1" x14ac:dyDescent="0.35">
      <c r="B8" s="139" t="s">
        <v>144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1"/>
    </row>
    <row r="9" spans="1:30" x14ac:dyDescent="0.3">
      <c r="B9" s="134" t="s">
        <v>120</v>
      </c>
      <c r="C9" s="126" t="s">
        <v>106</v>
      </c>
      <c r="D9" s="126"/>
      <c r="E9" s="126" t="s">
        <v>107</v>
      </c>
      <c r="F9" s="126"/>
      <c r="G9" s="126" t="s">
        <v>108</v>
      </c>
      <c r="H9" s="126"/>
      <c r="I9" s="126" t="s">
        <v>109</v>
      </c>
      <c r="J9" s="126"/>
      <c r="K9" s="126" t="s">
        <v>110</v>
      </c>
      <c r="L9" s="126"/>
      <c r="M9" s="126" t="s">
        <v>111</v>
      </c>
      <c r="N9" s="126"/>
      <c r="O9" s="126" t="s">
        <v>112</v>
      </c>
      <c r="P9" s="126"/>
      <c r="Q9" s="126" t="s">
        <v>113</v>
      </c>
      <c r="R9" s="126"/>
      <c r="S9" s="126" t="s">
        <v>114</v>
      </c>
      <c r="T9" s="126"/>
      <c r="U9" s="126" t="s">
        <v>115</v>
      </c>
      <c r="V9" s="126"/>
      <c r="W9" s="126" t="s">
        <v>116</v>
      </c>
      <c r="X9" s="126"/>
      <c r="Y9" s="126" t="s">
        <v>117</v>
      </c>
      <c r="Z9" s="126"/>
    </row>
    <row r="10" spans="1:30" x14ac:dyDescent="0.3">
      <c r="B10" s="135"/>
      <c r="C10" s="104" t="s">
        <v>104</v>
      </c>
      <c r="D10" s="105" t="s">
        <v>105</v>
      </c>
      <c r="E10" s="104" t="s">
        <v>104</v>
      </c>
      <c r="F10" s="105" t="s">
        <v>105</v>
      </c>
      <c r="G10" s="104" t="s">
        <v>104</v>
      </c>
      <c r="H10" s="105" t="s">
        <v>105</v>
      </c>
      <c r="I10" s="104" t="s">
        <v>104</v>
      </c>
      <c r="J10" s="105" t="s">
        <v>105</v>
      </c>
      <c r="K10" s="104" t="s">
        <v>104</v>
      </c>
      <c r="L10" s="105" t="s">
        <v>105</v>
      </c>
      <c r="M10" s="104" t="s">
        <v>104</v>
      </c>
      <c r="N10" s="105" t="s">
        <v>105</v>
      </c>
      <c r="O10" s="104" t="s">
        <v>104</v>
      </c>
      <c r="P10" s="105" t="s">
        <v>105</v>
      </c>
      <c r="Q10" s="104" t="s">
        <v>104</v>
      </c>
      <c r="R10" s="105" t="s">
        <v>105</v>
      </c>
      <c r="S10" s="104" t="s">
        <v>104</v>
      </c>
      <c r="T10" s="105" t="s">
        <v>105</v>
      </c>
      <c r="U10" s="104" t="s">
        <v>104</v>
      </c>
      <c r="V10" s="105" t="s">
        <v>105</v>
      </c>
      <c r="W10" s="104" t="s">
        <v>104</v>
      </c>
      <c r="X10" s="105" t="s">
        <v>105</v>
      </c>
      <c r="Y10" s="104" t="s">
        <v>104</v>
      </c>
      <c r="Z10" s="105" t="s">
        <v>105</v>
      </c>
      <c r="AA10" s="106"/>
      <c r="AB10" s="106"/>
      <c r="AC10" s="106"/>
      <c r="AD10" s="106"/>
    </row>
    <row r="11" spans="1:30" x14ac:dyDescent="0.3">
      <c r="B11" s="35" t="s">
        <v>89</v>
      </c>
      <c r="C11" s="121">
        <f>C42-C41</f>
        <v>24636</v>
      </c>
      <c r="D11" s="107">
        <f t="shared" ref="D11:D37" si="0">C11/C41</f>
        <v>0.23751283683805205</v>
      </c>
      <c r="E11" s="121">
        <f>(SUM(C42:D42))-(SUM(C41:D41))</f>
        <v>35342.150000000023</v>
      </c>
      <c r="F11" s="107">
        <f t="shared" ref="F11:F36" si="1">E11/(SUM(C41:D41))</f>
        <v>0.22007040828360894</v>
      </c>
      <c r="G11" s="121">
        <f>(SUM(C42:E42))-(SUM(C41:E41))</f>
        <v>49227.310000000027</v>
      </c>
      <c r="H11" s="107">
        <f t="shared" ref="H11:H36" si="2">G11/(SUM(C41:E41))</f>
        <v>0.25013083934737046</v>
      </c>
      <c r="I11" s="121">
        <f>(SUM(C42:F42))-(SUM(C41:F41))</f>
        <v>61142.050000000047</v>
      </c>
      <c r="J11" s="107">
        <f t="shared" ref="J11:J36" si="3">I11/(SUM(C41:F41))</f>
        <v>0.23194365528668531</v>
      </c>
      <c r="K11" s="121">
        <f>(SUM(C42:G42))-(SUM(C41:G41))</f>
        <v>71929.570000000065</v>
      </c>
      <c r="L11" s="107">
        <f t="shared" ref="L11:L36" si="4">K11/(SUM(C41:G41))</f>
        <v>0.20352266940038907</v>
      </c>
      <c r="M11" s="121">
        <f>(SUM(C42:H42))-(SUM(C41:H41))</f>
        <v>134880.74</v>
      </c>
      <c r="N11" s="107">
        <f t="shared" ref="N11:N36" si="5">M11/(SUM(C41:H41))</f>
        <v>0.26447962615084425</v>
      </c>
      <c r="O11" s="121">
        <f>(SUM(C42:I42))-(SUM(C41:I41))</f>
        <v>174972.57999999996</v>
      </c>
      <c r="P11" s="107">
        <f t="shared" ref="P11:P36" si="6">O11/(SUM(C41:I41))</f>
        <v>0.23226912491398549</v>
      </c>
      <c r="Q11" s="121">
        <f>(SUM(C42:J42))-(SUM(C41:J41))</f>
        <v>213151.45000000007</v>
      </c>
      <c r="R11" s="107">
        <f t="shared" ref="R11:R36" si="7">Q11/(SUM(C41:J41))</f>
        <v>0.21172186795485134</v>
      </c>
      <c r="S11" s="121">
        <f>(SUM(C42:K42))-(SUM(C41:K41))</f>
        <v>318627.60999999987</v>
      </c>
      <c r="T11" s="107">
        <f t="shared" ref="T11:T36" si="8">S11/(SUM(C41:K41))</f>
        <v>0.21650528748975859</v>
      </c>
      <c r="U11" s="121">
        <f>(SUM(C42:L42))-(SUM(C41:L41))</f>
        <v>385287.45999999996</v>
      </c>
      <c r="V11" s="107">
        <f t="shared" ref="V11:V36" si="9">U11/(SUM(C41:L41))</f>
        <v>0.18809626393706622</v>
      </c>
      <c r="W11" s="121">
        <f>(SUM(C42:M42))-(SUM(C41:M41))</f>
        <v>370174.33999999985</v>
      </c>
      <c r="X11" s="107">
        <f t="shared" ref="X11:X36" si="10">W11/(SUM(C41:M41))</f>
        <v>0.15268356522887602</v>
      </c>
      <c r="Y11" s="121">
        <f t="shared" ref="Y11:Y33" si="11">(SUM(C42:N42))-(SUM(C41:N41))</f>
        <v>373453.35000000009</v>
      </c>
      <c r="Z11" s="107">
        <f t="shared" ref="Z11:Z36" si="12">Y11/(SUM(C41:N41))</f>
        <v>0.1423738858418872</v>
      </c>
    </row>
    <row r="12" spans="1:30" x14ac:dyDescent="0.3">
      <c r="B12" s="35" t="s">
        <v>90</v>
      </c>
      <c r="C12" s="121">
        <f t="shared" ref="C12:C30" si="13">C43-C42</f>
        <v>-597.75</v>
      </c>
      <c r="D12" s="107">
        <f t="shared" si="0"/>
        <v>-4.6567911791221194E-3</v>
      </c>
      <c r="E12" s="121">
        <f t="shared" ref="E12:E30" si="14">(SUM(C43:D43))-(SUM(C42:D42))</f>
        <v>8178.6999999999825</v>
      </c>
      <c r="F12" s="107">
        <f t="shared" si="1"/>
        <v>4.1741501562058997E-2</v>
      </c>
      <c r="G12" s="121">
        <f t="shared" ref="G12:G31" si="15">(SUM(C43:E43))-(SUM(C42:E42))</f>
        <v>6284.7099999999919</v>
      </c>
      <c r="H12" s="107">
        <f t="shared" si="2"/>
        <v>2.5544117865226069E-2</v>
      </c>
      <c r="I12" s="121">
        <f t="shared" ref="I12:I31" si="16">(SUM(C43:F43))-(SUM(C42:F42))</f>
        <v>9502.2299999999814</v>
      </c>
      <c r="J12" s="107">
        <f t="shared" si="3"/>
        <v>2.9260193529539749E-2</v>
      </c>
      <c r="K12" s="121">
        <f t="shared" ref="K12:K31" si="17">(SUM(C43:G43))-(SUM(C42:G42))</f>
        <v>26027.509999999951</v>
      </c>
      <c r="L12" s="107">
        <f t="shared" si="4"/>
        <v>6.1190453676934063E-2</v>
      </c>
      <c r="M12" s="121">
        <f t="shared" ref="M12:M31" si="18">(SUM(C43:H43))-(SUM(C42:H42))</f>
        <v>49040.209999999963</v>
      </c>
      <c r="N12" s="107">
        <f t="shared" si="5"/>
        <v>7.6047119300469923E-2</v>
      </c>
      <c r="O12" s="121">
        <f t="shared" ref="O12:O30" si="19">(SUM(C43:I43))-(SUM(C42:I42))</f>
        <v>66645.599999999977</v>
      </c>
      <c r="P12" s="107">
        <f t="shared" si="6"/>
        <v>7.1793876417205291E-2</v>
      </c>
      <c r="Q12" s="121">
        <f t="shared" ref="Q12:Q31" si="20">(SUM(C43:J43))-(SUM(C42:J42))</f>
        <v>82291.029999999795</v>
      </c>
      <c r="R12" s="107">
        <f t="shared" si="7"/>
        <v>6.7456993036875967E-2</v>
      </c>
      <c r="S12" s="121">
        <f t="shared" ref="S12:S31" si="21">(SUM(C43:K43))-(SUM(C42:K42))</f>
        <v>115477.71999999997</v>
      </c>
      <c r="T12" s="107">
        <f t="shared" si="8"/>
        <v>6.4501423726121845E-2</v>
      </c>
      <c r="U12" s="121">
        <f t="shared" ref="U12:U31" si="22">(SUM(C43:L43))-(SUM(C42:L42))</f>
        <v>134336.29999999981</v>
      </c>
      <c r="V12" s="107">
        <f t="shared" si="9"/>
        <v>5.5199741950329471E-2</v>
      </c>
      <c r="W12" s="121">
        <f t="shared" ref="W12:W31" si="23">(SUM(C43:M43))-(SUM(C42:M42))</f>
        <v>128992.86999999965</v>
      </c>
      <c r="X12" s="107">
        <f t="shared" si="10"/>
        <v>4.6157426428518701E-2</v>
      </c>
      <c r="Y12" s="121">
        <f t="shared" si="11"/>
        <v>129567.44999999972</v>
      </c>
      <c r="Z12" s="107">
        <f t="shared" si="12"/>
        <v>4.3239595618360049E-2</v>
      </c>
    </row>
    <row r="13" spans="1:30" x14ac:dyDescent="0.3">
      <c r="B13" s="35" t="s">
        <v>91</v>
      </c>
      <c r="C13" s="121">
        <f t="shared" si="13"/>
        <v>-3273.4400000000023</v>
      </c>
      <c r="D13" s="107">
        <f t="shared" si="0"/>
        <v>-2.56211551419709E-2</v>
      </c>
      <c r="E13" s="121">
        <f t="shared" si="14"/>
        <v>5158.6600000000035</v>
      </c>
      <c r="F13" s="107">
        <f t="shared" si="1"/>
        <v>2.5273228762193047E-2</v>
      </c>
      <c r="G13" s="121">
        <f t="shared" si="15"/>
        <v>10808.169999999984</v>
      </c>
      <c r="H13" s="107">
        <f t="shared" si="2"/>
        <v>4.2835465019455919E-2</v>
      </c>
      <c r="I13" s="121">
        <f t="shared" si="16"/>
        <v>9138.1500000000233</v>
      </c>
      <c r="J13" s="107">
        <f t="shared" si="3"/>
        <v>2.7339134511898622E-2</v>
      </c>
      <c r="K13" s="121">
        <f t="shared" si="17"/>
        <v>11736.800000000047</v>
      </c>
      <c r="L13" s="107">
        <f t="shared" si="4"/>
        <v>2.6002039922152609E-2</v>
      </c>
      <c r="M13" s="121">
        <f t="shared" si="18"/>
        <v>58195.340000000084</v>
      </c>
      <c r="N13" s="107">
        <f t="shared" si="5"/>
        <v>8.3866277511350645E-2</v>
      </c>
      <c r="O13" s="121">
        <f t="shared" si="19"/>
        <v>55605.699999999953</v>
      </c>
      <c r="P13" s="107">
        <f t="shared" si="6"/>
        <v>5.5888694079130455E-2</v>
      </c>
      <c r="Q13" s="121">
        <f t="shared" si="20"/>
        <v>82943.39000000013</v>
      </c>
      <c r="R13" s="107">
        <f t="shared" si="7"/>
        <v>6.369507815133485E-2</v>
      </c>
      <c r="S13" s="121">
        <f t="shared" si="21"/>
        <v>127197.63000000012</v>
      </c>
      <c r="T13" s="107">
        <f t="shared" si="8"/>
        <v>6.6742715601287708E-2</v>
      </c>
      <c r="U13" s="121">
        <f t="shared" si="22"/>
        <v>195559.52000000048</v>
      </c>
      <c r="V13" s="107">
        <f t="shared" si="9"/>
        <v>7.6153163874604482E-2</v>
      </c>
      <c r="W13" s="121">
        <f t="shared" si="23"/>
        <v>268476.84000000078</v>
      </c>
      <c r="X13" s="107">
        <f t="shared" si="10"/>
        <v>9.1830228645184725E-2</v>
      </c>
      <c r="Y13" s="121">
        <f t="shared" si="11"/>
        <v>320979.76000000071</v>
      </c>
      <c r="Z13" s="107">
        <f t="shared" si="12"/>
        <v>0.10267844857053958</v>
      </c>
    </row>
    <row r="14" spans="1:30" x14ac:dyDescent="0.3">
      <c r="B14" s="35" t="s">
        <v>92</v>
      </c>
      <c r="C14" s="121">
        <f t="shared" si="13"/>
        <v>31671.569999999992</v>
      </c>
      <c r="D14" s="107">
        <f t="shared" si="0"/>
        <v>0.25441110684391388</v>
      </c>
      <c r="E14" s="121">
        <f t="shared" si="14"/>
        <v>35071.739999999991</v>
      </c>
      <c r="F14" s="107">
        <f t="shared" si="1"/>
        <v>0.16758745999567548</v>
      </c>
      <c r="G14" s="121">
        <f t="shared" si="15"/>
        <v>49835.25</v>
      </c>
      <c r="H14" s="107">
        <f t="shared" si="2"/>
        <v>0.18939659539332479</v>
      </c>
      <c r="I14" s="121">
        <f t="shared" si="16"/>
        <v>50515.959999999963</v>
      </c>
      <c r="J14" s="107">
        <f t="shared" si="3"/>
        <v>0.14710968238803376</v>
      </c>
      <c r="K14" s="121">
        <f t="shared" si="17"/>
        <v>59522.039999999979</v>
      </c>
      <c r="L14" s="107">
        <f t="shared" si="4"/>
        <v>0.12852490744396922</v>
      </c>
      <c r="M14" s="121">
        <f>(SUM(C45:H45))-(SUM(C44:H44))</f>
        <v>39476.499999999884</v>
      </c>
      <c r="N14" s="107">
        <f t="shared" si="5"/>
        <v>5.2488250059174027E-2</v>
      </c>
      <c r="O14" s="121">
        <f t="shared" si="19"/>
        <v>121754.43999999994</v>
      </c>
      <c r="P14" s="107">
        <f t="shared" si="6"/>
        <v>0.11589676595276509</v>
      </c>
      <c r="Q14" s="121">
        <f t="shared" si="20"/>
        <v>176326.49999999977</v>
      </c>
      <c r="R14" s="107">
        <f t="shared" si="7"/>
        <v>0.1272988647398636</v>
      </c>
      <c r="S14" s="121">
        <f t="shared" si="21"/>
        <v>271911.76999999955</v>
      </c>
      <c r="T14" s="107">
        <f t="shared" si="8"/>
        <v>0.13374981027926122</v>
      </c>
      <c r="U14" s="121">
        <f t="shared" si="22"/>
        <v>302422.72999999952</v>
      </c>
      <c r="V14" s="107">
        <f t="shared" si="9"/>
        <v>0.10943325858537252</v>
      </c>
      <c r="W14" s="121">
        <f t="shared" si="23"/>
        <v>359573.34999999963</v>
      </c>
      <c r="X14" s="107">
        <f t="shared" si="10"/>
        <v>0.11264481868547875</v>
      </c>
      <c r="Y14" s="121">
        <f t="shared" si="11"/>
        <v>392774.03999999957</v>
      </c>
      <c r="Z14" s="107">
        <f t="shared" si="12"/>
        <v>0.11394506994355807</v>
      </c>
    </row>
    <row r="15" spans="1:30" x14ac:dyDescent="0.3">
      <c r="B15" s="35" t="s">
        <v>93</v>
      </c>
      <c r="C15" s="121">
        <f t="shared" si="13"/>
        <v>36863.81</v>
      </c>
      <c r="D15" s="107">
        <f t="shared" si="0"/>
        <v>0.23606239189863301</v>
      </c>
      <c r="E15" s="121">
        <f t="shared" si="14"/>
        <v>51281.510000000009</v>
      </c>
      <c r="F15" s="107">
        <f t="shared" si="1"/>
        <v>0.20987252543002655</v>
      </c>
      <c r="G15" s="121">
        <f t="shared" si="15"/>
        <v>56652.510000000009</v>
      </c>
      <c r="H15" s="107">
        <f t="shared" si="2"/>
        <v>0.1810205965152028</v>
      </c>
      <c r="I15" s="121">
        <f t="shared" si="16"/>
        <v>82948.98000000004</v>
      </c>
      <c r="J15" s="107">
        <f t="shared" si="3"/>
        <v>0.21058079048507378</v>
      </c>
      <c r="K15" s="121">
        <f t="shared" si="17"/>
        <v>84920.169999999984</v>
      </c>
      <c r="L15" s="107">
        <f t="shared" si="4"/>
        <v>0.16248347496428744</v>
      </c>
      <c r="M15" s="121">
        <f t="shared" si="18"/>
        <v>124115.87000000011</v>
      </c>
      <c r="N15" s="107">
        <f t="shared" si="5"/>
        <v>0.15679547045613301</v>
      </c>
      <c r="O15" s="121">
        <f t="shared" si="19"/>
        <v>155662.3600000001</v>
      </c>
      <c r="P15" s="107">
        <f t="shared" si="6"/>
        <v>0.13278410828126519</v>
      </c>
      <c r="Q15" s="121">
        <f t="shared" si="20"/>
        <v>175364.84000000008</v>
      </c>
      <c r="R15" s="107">
        <f t="shared" si="7"/>
        <v>0.11230792343193403</v>
      </c>
      <c r="S15" s="121">
        <f t="shared" si="21"/>
        <v>262665.92000000039</v>
      </c>
      <c r="T15" s="107">
        <f t="shared" si="8"/>
        <v>0.1139597974289427</v>
      </c>
      <c r="U15" s="121">
        <f t="shared" si="22"/>
        <v>415988.41999999993</v>
      </c>
      <c r="V15" s="107">
        <f t="shared" si="9"/>
        <v>0.135679727307468</v>
      </c>
      <c r="W15" s="121">
        <f t="shared" si="23"/>
        <v>395847.65999999968</v>
      </c>
      <c r="X15" s="107">
        <f t="shared" si="10"/>
        <v>0.11145389647617177</v>
      </c>
      <c r="Y15" s="121">
        <f t="shared" si="11"/>
        <v>328478.05999999959</v>
      </c>
      <c r="Z15" s="107">
        <f t="shared" si="12"/>
        <v>8.5545142649073536E-2</v>
      </c>
    </row>
    <row r="16" spans="1:30" x14ac:dyDescent="0.3">
      <c r="B16" s="35" t="s">
        <v>94</v>
      </c>
      <c r="C16" s="121">
        <f t="shared" si="13"/>
        <v>5179.820000000007</v>
      </c>
      <c r="D16" s="107">
        <f t="shared" si="0"/>
        <v>2.6834954270975458E-2</v>
      </c>
      <c r="E16" s="121">
        <f t="shared" si="14"/>
        <v>31860.5</v>
      </c>
      <c r="F16" s="107">
        <f t="shared" si="1"/>
        <v>0.10777245012727166</v>
      </c>
      <c r="G16" s="121">
        <f t="shared" si="15"/>
        <v>51212.770000000019</v>
      </c>
      <c r="H16" s="107">
        <f t="shared" si="2"/>
        <v>0.13855736978063538</v>
      </c>
      <c r="I16" s="121">
        <f t="shared" si="16"/>
        <v>66597.090000000026</v>
      </c>
      <c r="J16" s="107">
        <f t="shared" si="3"/>
        <v>0.13965907980650966</v>
      </c>
      <c r="K16" s="121">
        <f t="shared" si="17"/>
        <v>96345.430000000051</v>
      </c>
      <c r="L16" s="107">
        <f t="shared" si="4"/>
        <v>0.15857790465050825</v>
      </c>
      <c r="M16" s="121">
        <f t="shared" si="18"/>
        <v>194983.91999999993</v>
      </c>
      <c r="N16" s="107">
        <f t="shared" si="5"/>
        <v>0.21293566804186756</v>
      </c>
      <c r="O16" s="121">
        <f t="shared" si="19"/>
        <v>160274.77000000002</v>
      </c>
      <c r="P16" s="107">
        <f t="shared" si="6"/>
        <v>0.12069256175889231</v>
      </c>
      <c r="Q16" s="121">
        <f t="shared" si="20"/>
        <v>220525.18000000017</v>
      </c>
      <c r="R16" s="107">
        <f t="shared" si="7"/>
        <v>0.12696997329697415</v>
      </c>
      <c r="S16" s="121">
        <f t="shared" si="21"/>
        <v>342659.33000000007</v>
      </c>
      <c r="T16" s="107">
        <f t="shared" si="8"/>
        <v>0.13345688511807824</v>
      </c>
      <c r="U16" s="121">
        <f t="shared" si="22"/>
        <v>165319.53000000026</v>
      </c>
      <c r="V16" s="107">
        <f t="shared" si="9"/>
        <v>4.7479048769085729E-2</v>
      </c>
      <c r="W16" s="121">
        <f t="shared" si="23"/>
        <v>148238.98000000045</v>
      </c>
      <c r="X16" s="107">
        <f t="shared" si="10"/>
        <v>3.7552438152014797E-2</v>
      </c>
      <c r="Y16" s="121">
        <f t="shared" si="11"/>
        <v>197079.59000000078</v>
      </c>
      <c r="Z16" s="107">
        <f t="shared" si="12"/>
        <v>4.7280574990373664E-2</v>
      </c>
    </row>
    <row r="17" spans="2:26" x14ac:dyDescent="0.3">
      <c r="B17" s="35" t="s">
        <v>95</v>
      </c>
      <c r="C17" s="121">
        <f t="shared" si="13"/>
        <v>-16028.26999999999</v>
      </c>
      <c r="D17" s="107">
        <f t="shared" si="0"/>
        <v>-8.0867161074146793E-2</v>
      </c>
      <c r="E17" s="121">
        <f t="shared" si="14"/>
        <v>-12343.900000000023</v>
      </c>
      <c r="F17" s="107">
        <f t="shared" si="1"/>
        <v>-3.7692678815712401E-2</v>
      </c>
      <c r="G17" s="121">
        <f t="shared" si="15"/>
        <v>-3341.5100000000675</v>
      </c>
      <c r="H17" s="107">
        <f t="shared" si="2"/>
        <v>-7.9403420351207236E-3</v>
      </c>
      <c r="I17" s="121">
        <f t="shared" si="16"/>
        <v>3304.6699999999255</v>
      </c>
      <c r="J17" s="107">
        <f t="shared" si="3"/>
        <v>6.0808888663169856E-3</v>
      </c>
      <c r="K17" s="121">
        <f t="shared" si="17"/>
        <v>1524.3899999998976</v>
      </c>
      <c r="L17" s="107">
        <f t="shared" si="4"/>
        <v>2.1656207552384812E-3</v>
      </c>
      <c r="M17" s="121">
        <f t="shared" si="18"/>
        <v>-44625.380000000121</v>
      </c>
      <c r="N17" s="107">
        <f t="shared" si="5"/>
        <v>-4.0178505389433655E-2</v>
      </c>
      <c r="O17" s="121">
        <f t="shared" si="19"/>
        <v>13707.84999999986</v>
      </c>
      <c r="P17" s="107">
        <f t="shared" si="6"/>
        <v>9.210817918964706E-3</v>
      </c>
      <c r="Q17" s="121">
        <f t="shared" si="20"/>
        <v>28843.279999999795</v>
      </c>
      <c r="R17" s="107">
        <f t="shared" si="7"/>
        <v>1.4735848368728757E-2</v>
      </c>
      <c r="S17" s="121">
        <f>(SUM(C48:K48))-(SUM(C47:K47))</f>
        <v>52466.689999999944</v>
      </c>
      <c r="T17" s="107">
        <f t="shared" si="8"/>
        <v>1.8028395810344686E-2</v>
      </c>
      <c r="U17" s="121">
        <f t="shared" si="22"/>
        <v>268884.28000000026</v>
      </c>
      <c r="V17" s="107">
        <f t="shared" si="9"/>
        <v>7.3722136838643482E-2</v>
      </c>
      <c r="W17" s="121">
        <f t="shared" si="23"/>
        <v>303694.05000000028</v>
      </c>
      <c r="X17" s="107">
        <f t="shared" si="10"/>
        <v>7.4148428231398472E-2</v>
      </c>
      <c r="Y17" s="121">
        <f t="shared" si="11"/>
        <v>380000.15000000037</v>
      </c>
      <c r="Z17" s="107">
        <f t="shared" si="12"/>
        <v>8.7048605681870159E-2</v>
      </c>
    </row>
    <row r="18" spans="2:26" x14ac:dyDescent="0.3">
      <c r="B18" s="35" t="s">
        <v>96</v>
      </c>
      <c r="C18" s="121">
        <f t="shared" si="13"/>
        <v>33980.959999999992</v>
      </c>
      <c r="D18" s="107">
        <f t="shared" si="0"/>
        <v>0.18652751675214591</v>
      </c>
      <c r="E18" s="121">
        <f t="shared" si="14"/>
        <v>32496.450000000012</v>
      </c>
      <c r="F18" s="107">
        <f t="shared" si="1"/>
        <v>0.10311616178122965</v>
      </c>
      <c r="G18" s="121">
        <f t="shared" si="15"/>
        <v>60223.25</v>
      </c>
      <c r="H18" s="107">
        <f t="shared" si="2"/>
        <v>0.14425233262620291</v>
      </c>
      <c r="I18" s="121">
        <f t="shared" si="16"/>
        <v>52973.550000000047</v>
      </c>
      <c r="J18" s="107">
        <f t="shared" si="3"/>
        <v>9.6886919326258814E-2</v>
      </c>
      <c r="K18" s="121">
        <f t="shared" si="17"/>
        <v>56283.130000000121</v>
      </c>
      <c r="L18" s="107">
        <f t="shared" si="4"/>
        <v>7.9785699137886246E-2</v>
      </c>
      <c r="M18" s="121">
        <f t="shared" si="18"/>
        <v>131218.3200000003</v>
      </c>
      <c r="N18" s="107">
        <f t="shared" si="5"/>
        <v>0.1230880387071346</v>
      </c>
      <c r="O18" s="121">
        <f t="shared" si="19"/>
        <v>174490.83000000031</v>
      </c>
      <c r="P18" s="107">
        <f t="shared" si="6"/>
        <v>0.11617684147091255</v>
      </c>
      <c r="Q18" s="121">
        <f t="shared" si="20"/>
        <v>184649.8200000003</v>
      </c>
      <c r="R18" s="107">
        <f t="shared" si="7"/>
        <v>9.2966479109654207E-2</v>
      </c>
      <c r="S18" s="121">
        <f t="shared" si="21"/>
        <v>382773.19000000041</v>
      </c>
      <c r="T18" s="107">
        <f t="shared" si="8"/>
        <v>0.12919777591850026</v>
      </c>
      <c r="U18" s="121">
        <f t="shared" si="22"/>
        <v>483714.20000000019</v>
      </c>
      <c r="V18" s="107">
        <f t="shared" si="9"/>
        <v>0.12351776710701629</v>
      </c>
      <c r="W18" s="121">
        <f t="shared" si="23"/>
        <v>556266.12999999989</v>
      </c>
      <c r="X18" s="107">
        <f t="shared" si="10"/>
        <v>0.12643985417021708</v>
      </c>
      <c r="Y18" s="121">
        <f t="shared" si="11"/>
        <v>593068.15999999922</v>
      </c>
      <c r="Z18" s="107">
        <f t="shared" si="12"/>
        <v>0.12497803626474847</v>
      </c>
    </row>
    <row r="19" spans="2:26" x14ac:dyDescent="0.3">
      <c r="B19" s="35" t="s">
        <v>97</v>
      </c>
      <c r="C19" s="121">
        <f t="shared" si="13"/>
        <v>22060.850000000006</v>
      </c>
      <c r="D19" s="107">
        <f t="shared" si="0"/>
        <v>0.10205909002884102</v>
      </c>
      <c r="E19" s="121">
        <f t="shared" si="14"/>
        <v>46902.72000000003</v>
      </c>
      <c r="F19" s="107">
        <f t="shared" si="1"/>
        <v>0.13491728741080417</v>
      </c>
      <c r="G19" s="121">
        <f t="shared" si="15"/>
        <v>48041.800000000047</v>
      </c>
      <c r="H19" s="107">
        <f t="shared" si="2"/>
        <v>0.10056714478928278</v>
      </c>
      <c r="I19" s="121">
        <f t="shared" si="16"/>
        <v>45063.659999999916</v>
      </c>
      <c r="J19" s="107">
        <f t="shared" si="3"/>
        <v>7.513991045504094E-2</v>
      </c>
      <c r="K19" s="121">
        <f t="shared" si="17"/>
        <v>87562.459999999846</v>
      </c>
      <c r="L19" s="107">
        <f t="shared" si="4"/>
        <v>0.1149548228816632</v>
      </c>
      <c r="M19" s="121">
        <f t="shared" si="18"/>
        <v>153039.47999999975</v>
      </c>
      <c r="N19" s="107">
        <f t="shared" si="5"/>
        <v>0.12782360389635777</v>
      </c>
      <c r="O19" s="121">
        <f t="shared" si="19"/>
        <v>73470.229999999749</v>
      </c>
      <c r="P19" s="107">
        <f t="shared" si="6"/>
        <v>4.3825345491707766E-2</v>
      </c>
      <c r="Q19" s="121">
        <f t="shared" si="20"/>
        <v>178732.23999999976</v>
      </c>
      <c r="R19" s="107">
        <f t="shared" si="7"/>
        <v>8.233292611605908E-2</v>
      </c>
      <c r="S19" s="121">
        <f t="shared" si="21"/>
        <v>158495.90999999922</v>
      </c>
      <c r="T19" s="107">
        <f t="shared" si="8"/>
        <v>4.737634706909985E-2</v>
      </c>
      <c r="U19" s="121">
        <f t="shared" si="22"/>
        <v>239079.20999999903</v>
      </c>
      <c r="V19" s="107">
        <f t="shared" si="9"/>
        <v>5.4337851521979889E-2</v>
      </c>
      <c r="W19" s="121">
        <f t="shared" si="23"/>
        <v>265077.1099999994</v>
      </c>
      <c r="X19" s="107">
        <f t="shared" si="10"/>
        <v>5.3489136664278722E-2</v>
      </c>
      <c r="Y19" s="121">
        <f t="shared" si="11"/>
        <v>276391.46999999974</v>
      </c>
      <c r="Z19" s="107">
        <f t="shared" si="12"/>
        <v>5.1773756872843454E-2</v>
      </c>
    </row>
    <row r="20" spans="2:26" x14ac:dyDescent="0.3">
      <c r="B20" s="35" t="s">
        <v>98</v>
      </c>
      <c r="C20" s="121">
        <f t="shared" si="13"/>
        <v>-18805.630000000005</v>
      </c>
      <c r="D20" s="107">
        <f t="shared" si="0"/>
        <v>-7.8942787265823697E-2</v>
      </c>
      <c r="E20" s="121">
        <f t="shared" si="14"/>
        <v>-54974.739999999991</v>
      </c>
      <c r="F20" s="107">
        <f t="shared" si="1"/>
        <v>-0.13933767011156972</v>
      </c>
      <c r="G20" s="121">
        <f t="shared" si="15"/>
        <v>-65306.679999999993</v>
      </c>
      <c r="H20" s="107">
        <f t="shared" si="2"/>
        <v>-0.12421610630898115</v>
      </c>
      <c r="I20" s="121">
        <f t="shared" si="16"/>
        <v>-58443.869999999879</v>
      </c>
      <c r="J20" s="107">
        <f t="shared" si="3"/>
        <v>-9.0639644606938283E-2</v>
      </c>
      <c r="K20" s="121">
        <f t="shared" si="17"/>
        <v>-73200.029999999795</v>
      </c>
      <c r="L20" s="107">
        <f t="shared" si="4"/>
        <v>-8.6191260282792476E-2</v>
      </c>
      <c r="M20" s="121">
        <f t="shared" si="18"/>
        <v>-181349.11999999988</v>
      </c>
      <c r="N20" s="107">
        <f t="shared" si="5"/>
        <v>-0.13430180499909802</v>
      </c>
      <c r="O20" s="121">
        <f t="shared" si="19"/>
        <v>-168928.67999999993</v>
      </c>
      <c r="P20" s="107">
        <f t="shared" si="6"/>
        <v>-9.6536044447958255E-2</v>
      </c>
      <c r="Q20" s="121">
        <f>(SUM(C51:J51))-(SUM(C50:J50))</f>
        <v>-289952.51</v>
      </c>
      <c r="R20" s="107">
        <f t="shared" si="7"/>
        <v>-0.12340610761949403</v>
      </c>
      <c r="S20" s="121">
        <f t="shared" si="21"/>
        <v>-334903.29000000004</v>
      </c>
      <c r="T20" s="107">
        <f t="shared" si="8"/>
        <v>-9.5578489747355624E-2</v>
      </c>
      <c r="U20" s="121">
        <f t="shared" si="22"/>
        <v>-385252.5</v>
      </c>
      <c r="V20" s="107">
        <f t="shared" si="9"/>
        <v>-8.3047453088673617E-2</v>
      </c>
      <c r="W20" s="121">
        <f t="shared" si="23"/>
        <v>-425952.77000000048</v>
      </c>
      <c r="X20" s="107">
        <f t="shared" si="10"/>
        <v>-8.1587710541564828E-2</v>
      </c>
      <c r="Y20" s="121">
        <f t="shared" si="11"/>
        <v>-398286.41000000015</v>
      </c>
      <c r="Z20" s="107">
        <f t="shared" si="12"/>
        <v>-7.0934612704245253E-2</v>
      </c>
    </row>
    <row r="21" spans="2:26" x14ac:dyDescent="0.3">
      <c r="B21" s="35" t="s">
        <v>99</v>
      </c>
      <c r="C21" s="121">
        <f t="shared" si="13"/>
        <v>-6686.4800000000105</v>
      </c>
      <c r="D21" s="107">
        <f t="shared" si="0"/>
        <v>-3.0474424377351893E-2</v>
      </c>
      <c r="E21" s="121">
        <f t="shared" si="14"/>
        <v>11182.839999999967</v>
      </c>
      <c r="F21" s="107">
        <f t="shared" si="1"/>
        <v>3.2932498191160314E-2</v>
      </c>
      <c r="G21" s="121">
        <f t="shared" si="15"/>
        <v>15557.479999999981</v>
      </c>
      <c r="H21" s="107">
        <f t="shared" si="2"/>
        <v>3.3788009143004637E-2</v>
      </c>
      <c r="I21" s="121">
        <f t="shared" si="16"/>
        <v>18810.35999999987</v>
      </c>
      <c r="J21" s="107">
        <f t="shared" si="3"/>
        <v>3.2080440172735571E-2</v>
      </c>
      <c r="K21" s="121">
        <f t="shared" si="17"/>
        <v>4194.8299999998417</v>
      </c>
      <c r="L21" s="107">
        <f t="shared" si="4"/>
        <v>5.4051908118699366E-3</v>
      </c>
      <c r="M21" s="121">
        <f t="shared" si="18"/>
        <v>26083.85999999987</v>
      </c>
      <c r="N21" s="107">
        <f t="shared" si="5"/>
        <v>2.2313708003579989E-2</v>
      </c>
      <c r="O21" s="121">
        <f>(SUM(C52:I52))-(SUM(C51:I51))</f>
        <v>32280.789999999804</v>
      </c>
      <c r="P21" s="107">
        <f t="shared" si="6"/>
        <v>2.0418293161398354E-2</v>
      </c>
      <c r="Q21" s="121">
        <f t="shared" si="20"/>
        <v>50654.949999999953</v>
      </c>
      <c r="R21" s="107">
        <f t="shared" si="7"/>
        <v>2.4594230124313873E-2</v>
      </c>
      <c r="S21" s="121">
        <f t="shared" si="21"/>
        <v>-26701.919999999925</v>
      </c>
      <c r="T21" s="107">
        <f t="shared" si="8"/>
        <v>-8.4258235003364813E-3</v>
      </c>
      <c r="U21" s="121">
        <f t="shared" si="22"/>
        <v>-244860.7799999998</v>
      </c>
      <c r="V21" s="107">
        <f t="shared" si="9"/>
        <v>-5.7564298930184062E-2</v>
      </c>
      <c r="W21" s="121">
        <f t="shared" si="23"/>
        <v>-399198.30999999959</v>
      </c>
      <c r="X21" s="107">
        <f t="shared" si="10"/>
        <v>-8.3255763361342133E-2</v>
      </c>
      <c r="Y21" s="121">
        <f t="shared" si="11"/>
        <v>-436925.70999999996</v>
      </c>
      <c r="Z21" s="107">
        <f t="shared" si="12"/>
        <v>-8.3757563240078006E-2</v>
      </c>
    </row>
    <row r="22" spans="2:26" x14ac:dyDescent="0.3">
      <c r="B22" s="35" t="s">
        <v>100</v>
      </c>
      <c r="C22" s="121">
        <f t="shared" si="13"/>
        <v>-1320.3999999999942</v>
      </c>
      <c r="D22" s="107">
        <f t="shared" si="0"/>
        <v>-6.2070351789030483E-3</v>
      </c>
      <c r="E22" s="121">
        <f t="shared" si="14"/>
        <v>-16165.979999999981</v>
      </c>
      <c r="F22" s="107">
        <f t="shared" si="1"/>
        <v>-4.6089570512582695E-2</v>
      </c>
      <c r="G22" s="121">
        <f t="shared" si="15"/>
        <v>12203.330000000016</v>
      </c>
      <c r="H22" s="107">
        <f t="shared" si="2"/>
        <v>2.5637177881657081E-2</v>
      </c>
      <c r="I22" s="121">
        <f t="shared" si="16"/>
        <v>14038.530000000028</v>
      </c>
      <c r="J22" s="107">
        <f t="shared" si="3"/>
        <v>2.319804028080703E-2</v>
      </c>
      <c r="K22" s="121">
        <f t="shared" si="17"/>
        <v>-648.77000000001863</v>
      </c>
      <c r="L22" s="107">
        <f t="shared" si="4"/>
        <v>-8.3146945735486323E-4</v>
      </c>
      <c r="M22" s="121">
        <f t="shared" si="18"/>
        <v>79044.350000000093</v>
      </c>
      <c r="N22" s="107">
        <f t="shared" si="5"/>
        <v>6.6143402737324372E-2</v>
      </c>
      <c r="O22" s="121">
        <f t="shared" si="19"/>
        <v>157872.58000000007</v>
      </c>
      <c r="P22" s="107">
        <f t="shared" si="6"/>
        <v>9.785967096728114E-2</v>
      </c>
      <c r="Q22" s="121">
        <f t="shared" si="20"/>
        <v>233080.46999999974</v>
      </c>
      <c r="R22" s="107">
        <f t="shared" si="7"/>
        <v>0.1104498983771052</v>
      </c>
      <c r="S22" s="121">
        <f t="shared" si="21"/>
        <v>489292.18999999994</v>
      </c>
      <c r="T22" s="107">
        <f t="shared" si="8"/>
        <v>0.15570872295398464</v>
      </c>
      <c r="U22" s="121">
        <f t="shared" si="22"/>
        <v>951750.14999999991</v>
      </c>
      <c r="V22" s="107">
        <f t="shared" si="9"/>
        <v>0.23741339342247289</v>
      </c>
      <c r="W22" s="121">
        <f t="shared" si="23"/>
        <v>1198854.3200000003</v>
      </c>
      <c r="X22" s="107">
        <f t="shared" si="10"/>
        <v>0.27273686073039799</v>
      </c>
      <c r="Y22" s="121">
        <f t="shared" si="11"/>
        <v>1411976.3900000006</v>
      </c>
      <c r="Z22" s="107">
        <f t="shared" si="12"/>
        <v>0.29541562723749187</v>
      </c>
    </row>
    <row r="23" spans="2:26" x14ac:dyDescent="0.3">
      <c r="B23" s="35" t="s">
        <v>101</v>
      </c>
      <c r="C23" s="121">
        <f t="shared" si="13"/>
        <v>90265.49000000002</v>
      </c>
      <c r="D23" s="107">
        <f t="shared" si="0"/>
        <v>0.42697703508453605</v>
      </c>
      <c r="E23" s="121">
        <f t="shared" si="14"/>
        <v>142789.88</v>
      </c>
      <c r="F23" s="107">
        <f t="shared" si="1"/>
        <v>0.42676663197995585</v>
      </c>
      <c r="G23" s="121">
        <f t="shared" si="15"/>
        <v>164500.69000000006</v>
      </c>
      <c r="H23" s="107">
        <f t="shared" si="2"/>
        <v>0.3369502866042054</v>
      </c>
      <c r="I23" s="121">
        <f t="shared" si="16"/>
        <v>181008.84000000008</v>
      </c>
      <c r="J23" s="107">
        <f t="shared" si="3"/>
        <v>0.29232755172128122</v>
      </c>
      <c r="K23" s="121">
        <f t="shared" si="17"/>
        <v>218064.7300000001</v>
      </c>
      <c r="L23" s="107">
        <f t="shared" si="4"/>
        <v>0.27970628321921087</v>
      </c>
      <c r="M23" s="121">
        <f t="shared" si="18"/>
        <v>383849.91999999993</v>
      </c>
      <c r="N23" s="107">
        <f t="shared" si="5"/>
        <v>0.30127391525552683</v>
      </c>
      <c r="O23" s="121">
        <f t="shared" si="19"/>
        <v>469250.95999999996</v>
      </c>
      <c r="P23" s="107">
        <f t="shared" si="6"/>
        <v>0.26494478934529914</v>
      </c>
      <c r="Q23" s="121">
        <f t="shared" si="20"/>
        <v>587836.18000000017</v>
      </c>
      <c r="R23" s="107">
        <f t="shared" si="7"/>
        <v>0.25085154440937818</v>
      </c>
      <c r="S23" s="121">
        <f t="shared" si="21"/>
        <v>899569.2200000002</v>
      </c>
      <c r="T23" s="107">
        <f t="shared" si="8"/>
        <v>0.24770276530141683</v>
      </c>
      <c r="U23" s="121">
        <f t="shared" si="22"/>
        <v>991593.68000000063</v>
      </c>
      <c r="V23" s="107">
        <f t="shared" si="9"/>
        <v>0.19989466314657919</v>
      </c>
      <c r="W23" s="121">
        <f t="shared" si="23"/>
        <v>1071996.58</v>
      </c>
      <c r="X23" s="107">
        <f t="shared" si="10"/>
        <v>0.19161619077323058</v>
      </c>
      <c r="Y23" s="121">
        <f t="shared" si="11"/>
        <v>1138007.79</v>
      </c>
      <c r="Z23" s="107">
        <f t="shared" si="12"/>
        <v>0.1837985723306203</v>
      </c>
    </row>
    <row r="24" spans="2:26" x14ac:dyDescent="0.3">
      <c r="B24" s="35" t="s">
        <v>102</v>
      </c>
      <c r="C24" s="121">
        <f t="shared" si="13"/>
        <v>68047.969999999972</v>
      </c>
      <c r="D24" s="107">
        <f t="shared" si="0"/>
        <v>0.22556980450088987</v>
      </c>
      <c r="E24" s="121">
        <f t="shared" si="14"/>
        <v>90163.290000000037</v>
      </c>
      <c r="F24" s="107">
        <f t="shared" si="1"/>
        <v>0.18887298037034897</v>
      </c>
      <c r="G24" s="121">
        <f t="shared" si="15"/>
        <v>122192.32999999996</v>
      </c>
      <c r="H24" s="107">
        <f t="shared" si="2"/>
        <v>0.18720903025579744</v>
      </c>
      <c r="I24" s="121">
        <f t="shared" si="16"/>
        <v>130912.56999999995</v>
      </c>
      <c r="J24" s="107">
        <f t="shared" si="3"/>
        <v>0.16359827101854094</v>
      </c>
      <c r="K24" s="121">
        <f t="shared" si="17"/>
        <v>135793.68000000005</v>
      </c>
      <c r="L24" s="107">
        <f t="shared" si="4"/>
        <v>0.13610875134304651</v>
      </c>
      <c r="M24" s="121">
        <f t="shared" si="18"/>
        <v>350070.62000000011</v>
      </c>
      <c r="N24" s="107">
        <f t="shared" si="5"/>
        <v>0.21114802158809939</v>
      </c>
      <c r="O24" s="121">
        <f t="shared" si="19"/>
        <v>300280.63000000035</v>
      </c>
      <c r="P24" s="107">
        <f t="shared" si="6"/>
        <v>0.13403121696010017</v>
      </c>
      <c r="Q24" s="121">
        <f t="shared" si="20"/>
        <v>368151.18000000017</v>
      </c>
      <c r="R24" s="107">
        <f t="shared" si="7"/>
        <v>0.12559747095163956</v>
      </c>
      <c r="S24" s="121">
        <f t="shared" si="21"/>
        <v>514622</v>
      </c>
      <c r="T24" s="107">
        <f t="shared" si="8"/>
        <v>0.11357257659001282</v>
      </c>
      <c r="U24" s="121">
        <f t="shared" si="22"/>
        <v>653091.21999999974</v>
      </c>
      <c r="V24" s="107">
        <f t="shared" si="9"/>
        <v>0.10972312617287168</v>
      </c>
      <c r="W24" s="121">
        <f t="shared" si="23"/>
        <v>848163.9299999997</v>
      </c>
      <c r="X24" s="107">
        <f t="shared" si="10"/>
        <v>0.12722785531181796</v>
      </c>
      <c r="Y24" s="121">
        <f t="shared" si="11"/>
        <v>931785.79999999981</v>
      </c>
      <c r="Z24" s="107">
        <f t="shared" si="12"/>
        <v>0.12712623193342332</v>
      </c>
    </row>
    <row r="25" spans="2:26" x14ac:dyDescent="0.3">
      <c r="B25" s="35" t="s">
        <v>103</v>
      </c>
      <c r="C25" s="121">
        <f t="shared" si="13"/>
        <v>10441.47000000003</v>
      </c>
      <c r="D25" s="107">
        <f t="shared" si="0"/>
        <v>2.8241605485586962E-2</v>
      </c>
      <c r="E25" s="121">
        <f t="shared" si="14"/>
        <v>-82.810000000055879</v>
      </c>
      <c r="F25" s="107">
        <f t="shared" si="1"/>
        <v>-1.4591079062549665E-4</v>
      </c>
      <c r="G25" s="121">
        <f t="shared" si="15"/>
        <v>11201.949999999953</v>
      </c>
      <c r="H25" s="107">
        <f t="shared" si="2"/>
        <v>1.4456038161943003E-2</v>
      </c>
      <c r="I25" s="121">
        <f t="shared" si="16"/>
        <v>17907.930000000051</v>
      </c>
      <c r="J25" s="107">
        <f t="shared" si="3"/>
        <v>1.9232674504259233E-2</v>
      </c>
      <c r="K25" s="121">
        <f t="shared" si="17"/>
        <v>23566.389999999898</v>
      </c>
      <c r="L25" s="107">
        <f t="shared" si="4"/>
        <v>2.0791204366825179E-2</v>
      </c>
      <c r="M25" s="121">
        <f t="shared" si="18"/>
        <v>-93204.450000000186</v>
      </c>
      <c r="N25" s="107">
        <f t="shared" si="5"/>
        <v>-4.6416327607930331E-2</v>
      </c>
      <c r="O25" s="121">
        <f t="shared" si="19"/>
        <v>16280.449999999721</v>
      </c>
      <c r="P25" s="107">
        <f t="shared" si="6"/>
        <v>6.4079636222559473E-3</v>
      </c>
      <c r="Q25" s="121">
        <f t="shared" si="20"/>
        <v>136750.2799999998</v>
      </c>
      <c r="R25" s="107">
        <f t="shared" si="7"/>
        <v>4.144764058190277E-2</v>
      </c>
      <c r="S25" s="121">
        <f t="shared" si="21"/>
        <v>227242.34222222213</v>
      </c>
      <c r="T25" s="107">
        <f t="shared" si="8"/>
        <v>4.5035590348605853E-2</v>
      </c>
      <c r="U25" s="121">
        <f t="shared" si="22"/>
        <v>469694.36222222168</v>
      </c>
      <c r="V25" s="107">
        <f t="shared" si="9"/>
        <v>7.1109076465139295E-2</v>
      </c>
      <c r="W25" s="121">
        <f t="shared" si="23"/>
        <v>593878.83222222235</v>
      </c>
      <c r="X25" s="107">
        <f t="shared" si="10"/>
        <v>7.9029373798387481E-2</v>
      </c>
      <c r="Y25" s="121">
        <f t="shared" si="11"/>
        <v>622390.49222222157</v>
      </c>
      <c r="Z25" s="107">
        <f t="shared" si="12"/>
        <v>7.5337200701509177E-2</v>
      </c>
    </row>
    <row r="26" spans="2:26" x14ac:dyDescent="0.3">
      <c r="B26" s="35" t="s">
        <v>60</v>
      </c>
      <c r="C26" s="121">
        <f t="shared" si="13"/>
        <v>100405.16999999998</v>
      </c>
      <c r="D26" s="107">
        <f t="shared" si="0"/>
        <v>0.26411230781788197</v>
      </c>
      <c r="E26" s="121">
        <f t="shared" si="14"/>
        <v>157814.34999999998</v>
      </c>
      <c r="F26" s="107">
        <f t="shared" si="1"/>
        <v>0.27810864547588066</v>
      </c>
      <c r="G26" s="121">
        <f t="shared" si="15"/>
        <v>175675.16000000003</v>
      </c>
      <c r="H26" s="107">
        <f t="shared" si="2"/>
        <v>0.223476974164597</v>
      </c>
      <c r="I26" s="121">
        <f t="shared" si="16"/>
        <v>224994.58999999985</v>
      </c>
      <c r="J26" s="107">
        <f t="shared" si="3"/>
        <v>0.23707896976363296</v>
      </c>
      <c r="K26" s="121">
        <f t="shared" si="17"/>
        <v>268440.40999999992</v>
      </c>
      <c r="L26" s="107">
        <f t="shared" si="4"/>
        <v>0.23200511558225867</v>
      </c>
      <c r="M26" s="121">
        <f t="shared" si="18"/>
        <v>255967.95999999996</v>
      </c>
      <c r="N26" s="107">
        <f t="shared" si="5"/>
        <v>0.13367830482839366</v>
      </c>
      <c r="O26" s="121">
        <f t="shared" si="19"/>
        <v>370432.71999999974</v>
      </c>
      <c r="P26" s="107">
        <f t="shared" si="6"/>
        <v>0.14487348542459375</v>
      </c>
      <c r="Q26" s="121">
        <f t="shared" si="20"/>
        <v>497919.43000000017</v>
      </c>
      <c r="R26" s="107">
        <f t="shared" si="7"/>
        <v>0.1449082869506915</v>
      </c>
      <c r="S26" s="121">
        <f t="shared" si="21"/>
        <v>499179.15777777787</v>
      </c>
      <c r="T26" s="107">
        <f t="shared" si="8"/>
        <v>9.4665550720958613E-2</v>
      </c>
      <c r="U26" s="121">
        <f t="shared" si="22"/>
        <v>894615.8977777781</v>
      </c>
      <c r="V26" s="107">
        <f t="shared" si="9"/>
        <v>0.12644818586018333</v>
      </c>
      <c r="W26" s="121">
        <f t="shared" si="23"/>
        <v>985484.45777777769</v>
      </c>
      <c r="X26" s="107">
        <f t="shared" si="10"/>
        <v>0.12153663472338735</v>
      </c>
      <c r="Y26" s="121">
        <f t="shared" si="11"/>
        <v>1174641.7977777775</v>
      </c>
      <c r="Z26" s="107">
        <f t="shared" si="12"/>
        <v>0.13222309227228568</v>
      </c>
    </row>
    <row r="27" spans="2:26" x14ac:dyDescent="0.3">
      <c r="B27" s="35" t="s">
        <v>64</v>
      </c>
      <c r="C27" s="121">
        <f t="shared" si="13"/>
        <v>77634.250000000058</v>
      </c>
      <c r="D27" s="107">
        <f t="shared" si="0"/>
        <v>0.16154750920196081</v>
      </c>
      <c r="E27" s="121">
        <f t="shared" si="14"/>
        <v>115827.77000000014</v>
      </c>
      <c r="F27" s="107">
        <f t="shared" si="1"/>
        <v>0.15970294377225827</v>
      </c>
      <c r="G27" s="121">
        <f t="shared" si="15"/>
        <v>146003.16000000015</v>
      </c>
      <c r="H27" s="107">
        <f t="shared" si="2"/>
        <v>0.15180598001968792</v>
      </c>
      <c r="I27" s="121">
        <f t="shared" si="16"/>
        <v>153526.98000000021</v>
      </c>
      <c r="J27" s="107">
        <f t="shared" si="3"/>
        <v>0.13077003464575485</v>
      </c>
      <c r="K27" s="121">
        <f t="shared" si="17"/>
        <v>173300.25000000023</v>
      </c>
      <c r="L27" s="107">
        <f t="shared" si="4"/>
        <v>0.12157277937624685</v>
      </c>
      <c r="M27" s="121">
        <f t="shared" si="18"/>
        <v>314207.13000000035</v>
      </c>
      <c r="N27" s="107">
        <f t="shared" si="5"/>
        <v>0.14474431742996549</v>
      </c>
      <c r="O27" s="121">
        <f t="shared" si="19"/>
        <v>360907.5700000003</v>
      </c>
      <c r="P27" s="107">
        <f t="shared" si="6"/>
        <v>0.12328722064407198</v>
      </c>
      <c r="Q27" s="121">
        <f t="shared" si="20"/>
        <v>389822.83999999985</v>
      </c>
      <c r="R27" s="107">
        <f t="shared" si="7"/>
        <v>9.9090205919345753E-2</v>
      </c>
      <c r="S27" s="121">
        <f t="shared" si="21"/>
        <v>639477.4299999997</v>
      </c>
      <c r="T27" s="107">
        <f t="shared" si="8"/>
        <v>0.1107845739168196</v>
      </c>
      <c r="U27" s="121">
        <f t="shared" si="22"/>
        <v>904896.38999999966</v>
      </c>
      <c r="V27" s="107">
        <f t="shared" si="9"/>
        <v>0.11354385290012317</v>
      </c>
      <c r="W27" s="121">
        <f t="shared" si="23"/>
        <v>832839.83999999985</v>
      </c>
      <c r="X27" s="107">
        <f t="shared" si="10"/>
        <v>9.1581015572474764E-2</v>
      </c>
      <c r="Y27" s="121">
        <f t="shared" si="11"/>
        <v>817209.16999999993</v>
      </c>
      <c r="Z27" s="107">
        <f t="shared" si="12"/>
        <v>8.1246204607300657E-2</v>
      </c>
    </row>
    <row r="28" spans="2:26" x14ac:dyDescent="0.3">
      <c r="B28" s="35" t="s">
        <v>68</v>
      </c>
      <c r="C28" s="121">
        <f t="shared" si="13"/>
        <v>133811.58999999997</v>
      </c>
      <c r="D28" s="107">
        <f t="shared" si="0"/>
        <v>0.23971966264225106</v>
      </c>
      <c r="E28" s="121">
        <f t="shared" si="14"/>
        <v>178054.28999999992</v>
      </c>
      <c r="F28" s="107">
        <f t="shared" si="1"/>
        <v>0.21169271300140124</v>
      </c>
      <c r="G28" s="121">
        <f t="shared" si="15"/>
        <v>192066.86999999988</v>
      </c>
      <c r="H28" s="107">
        <f t="shared" si="2"/>
        <v>0.17338030171245863</v>
      </c>
      <c r="I28" s="121">
        <f t="shared" si="16"/>
        <v>201159.51</v>
      </c>
      <c r="J28" s="107">
        <f t="shared" si="3"/>
        <v>0.15152692485819794</v>
      </c>
      <c r="K28" s="121">
        <f t="shared" si="17"/>
        <v>217780.86999999988</v>
      </c>
      <c r="L28" s="107">
        <f t="shared" si="4"/>
        <v>0.13621640816592642</v>
      </c>
      <c r="M28" s="121">
        <f t="shared" si="18"/>
        <v>238149.79000000004</v>
      </c>
      <c r="N28" s="107">
        <f t="shared" si="5"/>
        <v>9.5835672184552717E-2</v>
      </c>
      <c r="O28" s="121">
        <f t="shared" si="19"/>
        <v>414060.26000000024</v>
      </c>
      <c r="P28" s="107">
        <f t="shared" si="6"/>
        <v>0.12592002553116177</v>
      </c>
      <c r="Q28" s="121">
        <f t="shared" si="20"/>
        <v>487383.3200000003</v>
      </c>
      <c r="R28" s="107">
        <f t="shared" si="7"/>
        <v>0.11271994648315985</v>
      </c>
      <c r="S28" s="121">
        <f t="shared" si="21"/>
        <v>701532.20000000112</v>
      </c>
      <c r="T28" s="107">
        <f t="shared" si="8"/>
        <v>0.10941373428105242</v>
      </c>
      <c r="U28" s="121">
        <f t="shared" si="22"/>
        <v>803376.20000000112</v>
      </c>
      <c r="V28" s="107">
        <f t="shared" si="9"/>
        <v>9.0526641447372852E-2</v>
      </c>
      <c r="W28" s="121">
        <f t="shared" si="23"/>
        <v>865072.70000000112</v>
      </c>
      <c r="X28" s="107">
        <f t="shared" si="10"/>
        <v>8.7144623115867556E-2</v>
      </c>
      <c r="Y28" s="121">
        <f t="shared" si="11"/>
        <v>887598.41000000201</v>
      </c>
      <c r="Z28" s="107">
        <f t="shared" si="12"/>
        <v>8.1613456308077176E-2</v>
      </c>
    </row>
    <row r="29" spans="2:26" x14ac:dyDescent="0.3">
      <c r="B29" s="35" t="s">
        <v>72</v>
      </c>
      <c r="C29" s="121">
        <f t="shared" si="13"/>
        <v>-16601.180000000051</v>
      </c>
      <c r="D29" s="107">
        <f t="shared" si="0"/>
        <v>-2.3989731968482118E-2</v>
      </c>
      <c r="E29" s="121">
        <f t="shared" si="14"/>
        <v>68499.769999999902</v>
      </c>
      <c r="F29" s="107">
        <f t="shared" si="1"/>
        <v>6.7212505343657317E-2</v>
      </c>
      <c r="G29" s="121">
        <f t="shared" si="15"/>
        <v>113572.06999999983</v>
      </c>
      <c r="H29" s="107">
        <f t="shared" si="2"/>
        <v>8.7373562500488874E-2</v>
      </c>
      <c r="I29" s="121">
        <f t="shared" si="16"/>
        <v>135373.86999999965</v>
      </c>
      <c r="J29" s="107">
        <f t="shared" si="3"/>
        <v>8.8554368014759827E-2</v>
      </c>
      <c r="K29" s="121">
        <f t="shared" si="17"/>
        <v>160491.82999999984</v>
      </c>
      <c r="L29" s="107">
        <f t="shared" si="4"/>
        <v>8.8348985799723487E-2</v>
      </c>
      <c r="M29" s="121">
        <f t="shared" si="18"/>
        <v>384713.30999999959</v>
      </c>
      <c r="N29" s="107">
        <f t="shared" si="5"/>
        <v>0.1412761231565392</v>
      </c>
      <c r="O29" s="121">
        <f t="shared" si="19"/>
        <v>278312.65999999968</v>
      </c>
      <c r="P29" s="107">
        <f t="shared" si="6"/>
        <v>7.5172097987231457E-2</v>
      </c>
      <c r="Q29" s="121">
        <f t="shared" si="20"/>
        <v>309273.53000000026</v>
      </c>
      <c r="R29" s="107">
        <f t="shared" si="7"/>
        <v>6.4281646180980562E-2</v>
      </c>
      <c r="S29" s="121">
        <f t="shared" si="21"/>
        <v>717850.4299999997</v>
      </c>
      <c r="T29" s="107">
        <f t="shared" si="8"/>
        <v>0.10091707580314581</v>
      </c>
      <c r="U29" s="121">
        <f t="shared" si="22"/>
        <v>821905.04000000097</v>
      </c>
      <c r="V29" s="107">
        <f t="shared" si="9"/>
        <v>8.4926418684153931E-2</v>
      </c>
      <c r="W29" s="121">
        <f t="shared" si="23"/>
        <v>1036152.370000001</v>
      </c>
      <c r="X29" s="107">
        <f t="shared" si="10"/>
        <v>9.6011729240074395E-2</v>
      </c>
      <c r="Y29" s="121">
        <f t="shared" si="11"/>
        <v>1100633.7000000011</v>
      </c>
      <c r="Z29" s="107">
        <f t="shared" si="12"/>
        <v>9.356555100105983E-2</v>
      </c>
    </row>
    <row r="30" spans="2:26" x14ac:dyDescent="0.3">
      <c r="B30" s="35" t="s">
        <v>76</v>
      </c>
      <c r="C30" s="121">
        <f t="shared" si="13"/>
        <v>156104.57000000007</v>
      </c>
      <c r="D30" s="107">
        <f t="shared" si="0"/>
        <v>0.23112539581841413</v>
      </c>
      <c r="E30" s="121">
        <f t="shared" si="14"/>
        <v>232008.27000000002</v>
      </c>
      <c r="F30" s="107">
        <f t="shared" si="1"/>
        <v>0.2133111371392501</v>
      </c>
      <c r="G30" s="121">
        <f t="shared" si="15"/>
        <v>242402.82000000007</v>
      </c>
      <c r="H30" s="107">
        <f t="shared" si="2"/>
        <v>0.17150129368062023</v>
      </c>
      <c r="I30" s="121">
        <f t="shared" si="16"/>
        <v>299224.66000000015</v>
      </c>
      <c r="J30" s="107">
        <f t="shared" si="3"/>
        <v>0.1798135440348442</v>
      </c>
      <c r="K30" s="121">
        <f t="shared" si="17"/>
        <v>340783.94000000018</v>
      </c>
      <c r="L30" s="107">
        <f t="shared" si="4"/>
        <v>0.17236916672443778</v>
      </c>
      <c r="M30" s="121">
        <f t="shared" si="18"/>
        <v>367966.63000000035</v>
      </c>
      <c r="N30" s="107">
        <f t="shared" si="5"/>
        <v>0.1183993343243185</v>
      </c>
      <c r="O30" s="121">
        <f t="shared" si="19"/>
        <v>523770.44000000041</v>
      </c>
      <c r="P30" s="107">
        <f t="shared" si="6"/>
        <v>0.13157903840083679</v>
      </c>
      <c r="Q30" s="121">
        <f t="shared" si="20"/>
        <v>754933.63999999966</v>
      </c>
      <c r="R30" s="107">
        <f t="shared" si="7"/>
        <v>0.14743359113298385</v>
      </c>
      <c r="S30" s="121">
        <f t="shared" si="21"/>
        <v>836303.45999999903</v>
      </c>
      <c r="T30" s="107">
        <f t="shared" si="8"/>
        <v>0.10679230947616661</v>
      </c>
      <c r="U30" s="121">
        <f t="shared" si="22"/>
        <v>895199.33999999799</v>
      </c>
      <c r="V30" s="107">
        <f t="shared" si="9"/>
        <v>8.5259078716402273E-2</v>
      </c>
      <c r="W30" s="121">
        <f t="shared" si="23"/>
        <v>1030626.9799999967</v>
      </c>
      <c r="X30" s="107">
        <f t="shared" si="10"/>
        <v>8.7133863795583161E-2</v>
      </c>
      <c r="Y30" s="121">
        <f t="shared" si="11"/>
        <v>987776.10999999568</v>
      </c>
      <c r="Z30" s="107">
        <f t="shared" si="12"/>
        <v>7.678685329391291E-2</v>
      </c>
    </row>
    <row r="31" spans="2:26" x14ac:dyDescent="0.3">
      <c r="B31" s="35" t="s">
        <v>80</v>
      </c>
      <c r="C31" s="121">
        <f t="shared" ref="C31:C35" si="24">C62-C61</f>
        <v>-32204.640000000014</v>
      </c>
      <c r="D31" s="107">
        <f t="shared" si="0"/>
        <v>-3.8730063520539725E-2</v>
      </c>
      <c r="E31" s="121">
        <f t="shared" ref="E31:E36" si="25">(SUM(C62:D62))-(SUM(C61:D61))</f>
        <v>-159217.05999999982</v>
      </c>
      <c r="F31" s="107">
        <f t="shared" si="1"/>
        <v>-0.12065004309442676</v>
      </c>
      <c r="G31" s="121">
        <f t="shared" si="15"/>
        <v>-137577.31999999983</v>
      </c>
      <c r="H31" s="107">
        <f t="shared" si="2"/>
        <v>-8.3087139053692027E-2</v>
      </c>
      <c r="I31" s="121">
        <f t="shared" si="16"/>
        <v>-116594.12999999989</v>
      </c>
      <c r="J31" s="107">
        <f t="shared" si="3"/>
        <v>-5.938658161903454E-2</v>
      </c>
      <c r="K31" s="121">
        <f t="shared" si="17"/>
        <v>-105569.37999999989</v>
      </c>
      <c r="L31" s="107">
        <f t="shared" si="4"/>
        <v>-4.5546398898575681E-2</v>
      </c>
      <c r="M31" s="121">
        <f t="shared" si="18"/>
        <v>-585840.66000000015</v>
      </c>
      <c r="N31" s="107">
        <f t="shared" si="5"/>
        <v>-0.16854793490934897</v>
      </c>
      <c r="O31" s="121">
        <f t="shared" ref="O31:O36" si="26">(SUM(C62:I62))-(SUM(C61:I61))</f>
        <v>-1462548.1900000004</v>
      </c>
      <c r="P31" s="107">
        <f t="shared" si="6"/>
        <v>-0.32469157098683965</v>
      </c>
      <c r="Q31" s="121">
        <f t="shared" si="20"/>
        <v>-2179671.42</v>
      </c>
      <c r="R31" s="107">
        <f t="shared" si="7"/>
        <v>-0.37098054596045693</v>
      </c>
      <c r="S31" s="121">
        <f t="shared" si="21"/>
        <v>-2345849.6099999994</v>
      </c>
      <c r="T31" s="107">
        <f t="shared" si="8"/>
        <v>-0.27065130080498617</v>
      </c>
      <c r="U31" s="121">
        <f t="shared" si="22"/>
        <v>-2250271.8899999987</v>
      </c>
      <c r="V31" s="107">
        <f t="shared" si="9"/>
        <v>-0.19747969583366046</v>
      </c>
      <c r="W31" s="121">
        <f t="shared" si="23"/>
        <v>-1508537.9699999988</v>
      </c>
      <c r="X31" s="107">
        <f t="shared" si="10"/>
        <v>-0.11731638900626813</v>
      </c>
      <c r="Y31" s="121">
        <f t="shared" si="11"/>
        <v>-980778.40999999829</v>
      </c>
      <c r="Z31" s="107">
        <f t="shared" si="12"/>
        <v>-7.0805909390873986E-2</v>
      </c>
    </row>
    <row r="32" spans="2:26" x14ac:dyDescent="0.3">
      <c r="B32" s="35" t="s">
        <v>135</v>
      </c>
      <c r="C32" s="121">
        <f t="shared" si="24"/>
        <v>551008.15</v>
      </c>
      <c r="D32" s="107">
        <f t="shared" si="0"/>
        <v>0.68935419539324294</v>
      </c>
      <c r="E32" s="121">
        <f t="shared" si="25"/>
        <v>860211.58999999985</v>
      </c>
      <c r="F32" s="107">
        <f t="shared" si="1"/>
        <v>0.74127853433646029</v>
      </c>
      <c r="G32" s="121">
        <f t="shared" ref="G32:G37" si="27">(SUM(C63:E63))-(SUM(C62:E62))</f>
        <v>1079584.5699999996</v>
      </c>
      <c r="H32" s="107">
        <f t="shared" si="2"/>
        <v>0.71107525283380946</v>
      </c>
      <c r="I32" s="121">
        <f t="shared" ref="I32:I37" si="28">(SUM(C63:F63))-(SUM(C62:F62))</f>
        <v>1199940.8399999999</v>
      </c>
      <c r="J32" s="107">
        <f t="shared" si="3"/>
        <v>0.64977097259785044</v>
      </c>
      <c r="K32" s="121">
        <f t="shared" ref="K32:K37" si="29">(SUM(C63:G63))-(SUM(C62:G62))</f>
        <v>1322302.5799999996</v>
      </c>
      <c r="L32" s="107">
        <f t="shared" si="4"/>
        <v>0.59771217038778468</v>
      </c>
      <c r="M32" s="121">
        <f t="shared" ref="M32:M37" si="30">(SUM(C63:H63))-(SUM(C62:H62))</f>
        <v>2518196.3600000003</v>
      </c>
      <c r="N32" s="107">
        <f t="shared" si="5"/>
        <v>0.8713573541225802</v>
      </c>
      <c r="O32" s="121">
        <f t="shared" si="26"/>
        <v>4339510.6100000003</v>
      </c>
      <c r="P32" s="107">
        <f t="shared" si="6"/>
        <v>1.4265907830711406</v>
      </c>
      <c r="Q32" s="121">
        <f t="shared" ref="Q32:Q37" si="31">(SUM(C63:J63))-(SUM(C62:J62))</f>
        <v>6173414.9300000006</v>
      </c>
      <c r="R32" s="107">
        <f t="shared" si="7"/>
        <v>1.6704039060915776</v>
      </c>
      <c r="S32" s="121">
        <f t="shared" ref="S32:S37" si="32">(SUM(C63:K63))-(SUM(C62:K62))</f>
        <v>7416061.182</v>
      </c>
      <c r="T32" s="107">
        <f t="shared" si="8"/>
        <v>1.1731351393549185</v>
      </c>
      <c r="U32" s="121">
        <f t="shared" ref="U32:U37" si="33">(SUM(C63:L63))-(SUM(C62:L62))</f>
        <v>9136635.2300000004</v>
      </c>
      <c r="V32" s="107">
        <f t="shared" si="9"/>
        <v>0.99912013664161259</v>
      </c>
      <c r="W32" s="121">
        <f t="shared" ref="W32:W37" si="34">(SUM(C63:M63))-(SUM(C62:M62))</f>
        <v>9892260.1500000022</v>
      </c>
      <c r="X32" s="107">
        <f t="shared" si="10"/>
        <v>0.87155120390601726</v>
      </c>
      <c r="Y32" s="121">
        <f t="shared" si="11"/>
        <v>10292344.700000001</v>
      </c>
      <c r="Z32" s="107">
        <f t="shared" si="12"/>
        <v>0.79966206008400598</v>
      </c>
    </row>
    <row r="33" spans="2:26" x14ac:dyDescent="0.3">
      <c r="B33" s="35" t="s">
        <v>146</v>
      </c>
      <c r="C33" s="121">
        <f t="shared" si="24"/>
        <v>358008.10999999987</v>
      </c>
      <c r="D33" s="107">
        <f t="shared" si="0"/>
        <v>0.26512858296870329</v>
      </c>
      <c r="E33" s="121">
        <f t="shared" si="25"/>
        <v>456826.31000000006</v>
      </c>
      <c r="F33" s="107">
        <f t="shared" si="1"/>
        <v>0.22607836124482289</v>
      </c>
      <c r="G33" s="121">
        <f t="shared" si="27"/>
        <v>547149.06000000052</v>
      </c>
      <c r="H33" s="107">
        <f t="shared" si="2"/>
        <v>0.21061797985133698</v>
      </c>
      <c r="I33" s="121">
        <f t="shared" si="28"/>
        <v>664038.2900000005</v>
      </c>
      <c r="J33" s="107">
        <f t="shared" si="3"/>
        <v>0.21795655546564874</v>
      </c>
      <c r="K33" s="121">
        <f t="shared" si="29"/>
        <v>806032.91000000108</v>
      </c>
      <c r="L33" s="107">
        <f t="shared" si="4"/>
        <v>0.22804233770948926</v>
      </c>
      <c r="M33" s="121">
        <f t="shared" si="30"/>
        <v>1008305.4240000006</v>
      </c>
      <c r="N33" s="107">
        <f t="shared" si="5"/>
        <v>0.18644128359763931</v>
      </c>
      <c r="O33" s="121">
        <f t="shared" si="26"/>
        <v>1298114.4840000002</v>
      </c>
      <c r="P33" s="107">
        <f t="shared" si="6"/>
        <v>0.17586325667358288</v>
      </c>
      <c r="Q33" s="121">
        <f t="shared" si="31"/>
        <v>1221852.3939999994</v>
      </c>
      <c r="R33" s="107">
        <f t="shared" si="7"/>
        <v>0.12380489565293744</v>
      </c>
      <c r="S33" s="121">
        <f t="shared" si="32"/>
        <v>1863310.3819999993</v>
      </c>
      <c r="T33" s="107">
        <f t="shared" si="8"/>
        <v>0.13563544885976539</v>
      </c>
      <c r="U33" s="121">
        <f t="shared" si="33"/>
        <v>2608878.993999999</v>
      </c>
      <c r="V33" s="107">
        <f t="shared" si="9"/>
        <v>0.14270739143533656</v>
      </c>
      <c r="W33" s="121">
        <f t="shared" si="34"/>
        <v>1979683.3239999972</v>
      </c>
      <c r="X33" s="107">
        <f t="shared" si="10"/>
        <v>9.3194737489069757E-2</v>
      </c>
      <c r="Y33" s="121">
        <f t="shared" si="11"/>
        <v>1932679.6140000001</v>
      </c>
      <c r="Z33" s="107">
        <f t="shared" si="12"/>
        <v>8.3437459714542056E-2</v>
      </c>
    </row>
    <row r="34" spans="2:26" x14ac:dyDescent="0.3">
      <c r="B34" s="35" t="s">
        <v>151</v>
      </c>
      <c r="C34" s="121">
        <f t="shared" si="24"/>
        <v>-68516.979999999981</v>
      </c>
      <c r="D34" s="107">
        <f t="shared" si="0"/>
        <v>-4.010765129257373E-2</v>
      </c>
      <c r="E34" s="121">
        <f t="shared" si="25"/>
        <v>-44133.720000000205</v>
      </c>
      <c r="F34" s="107">
        <f t="shared" si="1"/>
        <v>-1.7813948638735175E-2</v>
      </c>
      <c r="G34" s="121">
        <f t="shared" si="27"/>
        <v>-115426.88000000035</v>
      </c>
      <c r="H34" s="107">
        <f t="shared" si="2"/>
        <v>-3.6701990847313383E-2</v>
      </c>
      <c r="I34" s="121">
        <f t="shared" si="28"/>
        <v>-168876.49000000069</v>
      </c>
      <c r="J34" s="107">
        <f t="shared" si="3"/>
        <v>-4.551077276637306E-2</v>
      </c>
      <c r="K34" s="121">
        <f t="shared" si="29"/>
        <v>-159149.47000000114</v>
      </c>
      <c r="L34" s="107">
        <f t="shared" si="4"/>
        <v>-3.6665242956953968E-2</v>
      </c>
      <c r="M34" s="121">
        <f t="shared" si="30"/>
        <v>-277014.74400000088</v>
      </c>
      <c r="N34" s="107">
        <f t="shared" si="5"/>
        <v>-4.3172442090490933E-2</v>
      </c>
      <c r="O34" s="121">
        <f t="shared" si="26"/>
        <v>-304399.52400000021</v>
      </c>
      <c r="P34" s="107">
        <f t="shared" si="6"/>
        <v>-3.5071090076005777E-2</v>
      </c>
      <c r="Q34" s="121">
        <f t="shared" si="31"/>
        <v>-382223.29399999976</v>
      </c>
      <c r="R34" s="107">
        <f t="shared" si="7"/>
        <v>-3.446238307295816E-2</v>
      </c>
      <c r="S34" s="121">
        <f t="shared" si="32"/>
        <v>-418728.74399999902</v>
      </c>
      <c r="T34" s="107">
        <f t="shared" si="8"/>
        <v>-2.6839958441125411E-2</v>
      </c>
      <c r="U34" s="121">
        <f t="shared" si="33"/>
        <v>-856563.09400000051</v>
      </c>
      <c r="V34" s="107">
        <f t="shared" si="9"/>
        <v>-4.1003115218137896E-2</v>
      </c>
      <c r="W34" s="121">
        <f t="shared" si="34"/>
        <v>-1011818.1140000001</v>
      </c>
      <c r="X34" s="107">
        <f t="shared" si="10"/>
        <v>-4.3571306465129751E-2</v>
      </c>
      <c r="Y34" s="121">
        <f>(SUM(C65:N65))-(SUM(C64:N64))</f>
        <v>-1077958.5240000002</v>
      </c>
      <c r="Z34" s="107">
        <f t="shared" si="12"/>
        <v>-4.2953584473331821E-2</v>
      </c>
    </row>
    <row r="35" spans="2:26" x14ac:dyDescent="0.3">
      <c r="B35" s="35" t="s">
        <v>156</v>
      </c>
      <c r="C35" s="121">
        <f t="shared" si="24"/>
        <v>-92347.149999999907</v>
      </c>
      <c r="D35" s="107">
        <f t="shared" si="0"/>
        <v>-5.6315764595961382E-2</v>
      </c>
      <c r="E35" s="121">
        <f t="shared" si="25"/>
        <v>-39868.329999999609</v>
      </c>
      <c r="F35" s="107">
        <f t="shared" si="1"/>
        <v>-1.6384151030276933E-2</v>
      </c>
      <c r="G35" s="121">
        <f t="shared" si="27"/>
        <v>15372.410000000615</v>
      </c>
      <c r="H35" s="107">
        <f t="shared" si="2"/>
        <v>5.074157718473366E-3</v>
      </c>
      <c r="I35" s="121">
        <f t="shared" si="28"/>
        <v>52849.924000001047</v>
      </c>
      <c r="J35" s="107">
        <f t="shared" si="3"/>
        <v>1.4921701639082546E-2</v>
      </c>
      <c r="K35" s="121">
        <f t="shared" si="29"/>
        <v>11030.944000001065</v>
      </c>
      <c r="L35" s="107">
        <f t="shared" si="4"/>
        <v>2.6380609203417562E-3</v>
      </c>
      <c r="M35" s="121">
        <f t="shared" si="30"/>
        <v>307487.49400000088</v>
      </c>
      <c r="N35" s="107">
        <f t="shared" si="5"/>
        <v>5.0083827693712619E-2</v>
      </c>
      <c r="O35" s="121">
        <f t="shared" si="26"/>
        <v>-95485.795999999158</v>
      </c>
      <c r="P35" s="107">
        <f t="shared" si="6"/>
        <v>-1.1401152383318012E-2</v>
      </c>
      <c r="Q35" s="121">
        <f t="shared" si="31"/>
        <v>163980.71400000155</v>
      </c>
      <c r="R35" s="107">
        <f t="shared" si="7"/>
        <v>1.5312698423735314E-2</v>
      </c>
      <c r="S35" s="121">
        <f t="shared" si="32"/>
        <v>451578.68400000036</v>
      </c>
      <c r="T35" s="107">
        <f t="shared" si="8"/>
        <v>2.9743921752794431E-2</v>
      </c>
      <c r="U35" s="121">
        <f t="shared" si="33"/>
        <v>194776.56400000304</v>
      </c>
      <c r="V35" s="107">
        <f t="shared" si="9"/>
        <v>9.722478670833987E-3</v>
      </c>
      <c r="W35" s="121">
        <f t="shared" si="34"/>
        <v>289423.04400000349</v>
      </c>
      <c r="X35" s="107">
        <f t="shared" si="10"/>
        <v>1.3031026929699669E-2</v>
      </c>
      <c r="Y35" s="121">
        <f>(SUM(C66:N66))-(SUM(C65:N65))</f>
        <v>9854.9640000015497</v>
      </c>
      <c r="Z35" s="107">
        <f t="shared" si="12"/>
        <v>4.1031689685364412E-4</v>
      </c>
    </row>
    <row r="36" spans="2:26" x14ac:dyDescent="0.3">
      <c r="B36" s="35" t="s">
        <v>161</v>
      </c>
      <c r="C36" s="121">
        <f>C67-C66</f>
        <v>84833.409999999916</v>
      </c>
      <c r="D36" s="107">
        <f t="shared" si="0"/>
        <v>5.4820969587391251E-2</v>
      </c>
      <c r="E36" s="121">
        <f t="shared" si="25"/>
        <v>-245823.77200000035</v>
      </c>
      <c r="F36" s="107">
        <f t="shared" si="1"/>
        <v>-0.10270563185516006</v>
      </c>
      <c r="G36" s="121">
        <f t="shared" si="27"/>
        <v>-237918.75400000066</v>
      </c>
      <c r="H36" s="107">
        <f t="shared" si="2"/>
        <v>-7.8136251603621171E-2</v>
      </c>
      <c r="I36" s="121">
        <f t="shared" si="28"/>
        <v>-296394.39800000098</v>
      </c>
      <c r="J36" s="107">
        <f t="shared" si="3"/>
        <v>-8.245394455948607E-2</v>
      </c>
      <c r="K36" s="121">
        <f t="shared" si="29"/>
        <v>-354918.63800000073</v>
      </c>
      <c r="L36" s="107">
        <f t="shared" si="4"/>
        <v>-8.4655808170275099E-2</v>
      </c>
      <c r="M36" s="121">
        <f t="shared" si="30"/>
        <v>-600905.51800000109</v>
      </c>
      <c r="N36" s="107">
        <f t="shared" si="5"/>
        <v>-9.3207804388761056E-2</v>
      </c>
      <c r="O36" s="121">
        <f t="shared" si="26"/>
        <v>-398475.26800000109</v>
      </c>
      <c r="P36" s="107">
        <f t="shared" si="6"/>
        <v>-4.8127272412682012E-2</v>
      </c>
      <c r="Q36" s="121">
        <f t="shared" si="31"/>
        <v>-115217.06400000304</v>
      </c>
      <c r="R36" s="107">
        <f t="shared" si="7"/>
        <v>-1.0596829399686163E-2</v>
      </c>
      <c r="S36" s="121">
        <f t="shared" si="32"/>
        <v>-425101.33400000259</v>
      </c>
      <c r="T36" s="107">
        <f t="shared" si="8"/>
        <v>-2.7191178258385733E-2</v>
      </c>
      <c r="U36" s="121">
        <f t="shared" si="33"/>
        <v>-177735.90800000355</v>
      </c>
      <c r="V36" s="107">
        <f t="shared" si="9"/>
        <v>-8.7864501875912354E-3</v>
      </c>
      <c r="W36" s="121">
        <f t="shared" si="34"/>
        <v>50190.133999995887</v>
      </c>
      <c r="X36" s="107">
        <f t="shared" si="10"/>
        <v>2.2306998780037132E-3</v>
      </c>
      <c r="Y36" s="121">
        <f>(SUM(C67:N67))-(SUM(C66:N66))</f>
        <v>-29050.038000002503</v>
      </c>
      <c r="Z36" s="107">
        <f t="shared" si="12"/>
        <v>-1.2090183777947183E-3</v>
      </c>
    </row>
    <row r="37" spans="2:26" x14ac:dyDescent="0.3">
      <c r="B37" s="35" t="s">
        <v>166</v>
      </c>
      <c r="C37" s="121">
        <f>C68-C67</f>
        <v>170221.83800000022</v>
      </c>
      <c r="D37" s="107">
        <f t="shared" si="0"/>
        <v>0.10428367047772147</v>
      </c>
      <c r="E37" s="121">
        <f t="shared" ref="E37" si="35">(SUM(C68:D68))-(SUM(C67:D67))</f>
        <v>531474.07400000049</v>
      </c>
      <c r="F37" s="107">
        <f t="shared" ref="F37" si="36">E37/(SUM(C67:D67))</f>
        <v>0.24746713045259414</v>
      </c>
      <c r="G37" s="121">
        <f t="shared" si="27"/>
        <v>447884.23400000064</v>
      </c>
      <c r="H37" s="107">
        <f t="shared" ref="H37" si="37">G37/(SUM(C67:E67))</f>
        <v>0.15955959838195638</v>
      </c>
      <c r="I37" s="121">
        <f t="shared" si="28"/>
        <v>485963.55800000066</v>
      </c>
      <c r="J37" s="107">
        <f t="shared" ref="J37" si="38">I37/(SUM(C67:F67))</f>
        <v>0.14733885024170223</v>
      </c>
      <c r="K37" s="123">
        <f t="shared" si="29"/>
        <v>-53336.221999999601</v>
      </c>
      <c r="L37" s="124">
        <f t="shared" ref="L37" si="39">K37/(SUM(C67:G67))</f>
        <v>-1.3898430940647296E-2</v>
      </c>
      <c r="M37" s="123">
        <f t="shared" si="30"/>
        <v>-2061803.4819999994</v>
      </c>
      <c r="N37" s="124">
        <f t="shared" ref="N37" si="40">M37/(SUM(C67:H67))</f>
        <v>-0.35268385630601784</v>
      </c>
      <c r="O37" s="123">
        <f t="shared" ref="O37" si="41">(SUM(C68:I68))-(SUM(C67:I67))</f>
        <v>-4096904.1019999995</v>
      </c>
      <c r="P37" s="124">
        <f t="shared" ref="P37" si="42">O37/(SUM(C67:I67))</f>
        <v>-0.51983652643819145</v>
      </c>
      <c r="Q37" s="123">
        <f t="shared" si="31"/>
        <v>-6973334.2259999979</v>
      </c>
      <c r="R37" s="124">
        <f t="shared" ref="R37" si="43">Q37/(SUM(C67:J67))</f>
        <v>-0.64822581396725099</v>
      </c>
      <c r="S37" s="123">
        <f t="shared" si="32"/>
        <v>-11424459.425999997</v>
      </c>
      <c r="T37" s="124">
        <f t="shared" ref="T37" si="44">S37/(SUM(C67:K67))</f>
        <v>-0.75117948475455842</v>
      </c>
      <c r="U37" s="123">
        <f t="shared" si="33"/>
        <v>-16266437.841999998</v>
      </c>
      <c r="V37" s="124">
        <f t="shared" ref="V37" si="45">U37/(SUM(C67:L67))</f>
        <v>-0.81126642343781108</v>
      </c>
      <c r="W37" s="123">
        <f t="shared" si="34"/>
        <v>-18765679.973999999</v>
      </c>
      <c r="X37" s="124">
        <f t="shared" ref="X37" si="46">W37/(SUM(C67:M67))</f>
        <v>-0.8321840589015026</v>
      </c>
      <c r="Y37" s="123">
        <f>(SUM(C68:N68))-(SUM(C67:N67))</f>
        <v>-20214503.322000001</v>
      </c>
      <c r="Z37" s="124">
        <f t="shared" ref="Z37" si="47">Y37/(SUM(C67:N67))</f>
        <v>-0.84231524362862631</v>
      </c>
    </row>
    <row r="38" spans="2:26" ht="13.5" thickBot="1" x14ac:dyDescent="0.35">
      <c r="B38" s="93"/>
      <c r="C38" s="36"/>
      <c r="D38" s="96"/>
      <c r="E38" s="36"/>
      <c r="F38" s="36"/>
      <c r="G38" s="36"/>
      <c r="H38" s="97"/>
      <c r="I38" s="36"/>
      <c r="J38" s="36"/>
      <c r="K38" s="36"/>
      <c r="L38" s="36"/>
      <c r="M38" s="36"/>
      <c r="N38" s="36"/>
      <c r="O38" s="36"/>
    </row>
    <row r="39" spans="2:26" ht="13.5" thickBot="1" x14ac:dyDescent="0.35">
      <c r="B39" s="136" t="s">
        <v>143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8"/>
    </row>
    <row r="40" spans="2:26" x14ac:dyDescent="0.3">
      <c r="B40" s="98"/>
      <c r="C40" s="37" t="s">
        <v>0</v>
      </c>
      <c r="D40" s="37" t="s">
        <v>1</v>
      </c>
      <c r="E40" s="37" t="s">
        <v>2</v>
      </c>
      <c r="F40" s="37" t="s">
        <v>3</v>
      </c>
      <c r="G40" s="37" t="s">
        <v>4</v>
      </c>
      <c r="H40" s="37" t="s">
        <v>5</v>
      </c>
      <c r="I40" s="37" t="s">
        <v>6</v>
      </c>
      <c r="J40" s="37" t="s">
        <v>7</v>
      </c>
      <c r="K40" s="37" t="s">
        <v>8</v>
      </c>
      <c r="L40" s="37" t="s">
        <v>9</v>
      </c>
      <c r="M40" s="37" t="s">
        <v>10</v>
      </c>
      <c r="N40" s="37" t="s">
        <v>11</v>
      </c>
      <c r="O40" s="99" t="s">
        <v>87</v>
      </c>
      <c r="P40" s="93"/>
      <c r="Q40" s="94"/>
    </row>
    <row r="41" spans="2:26" x14ac:dyDescent="0.3">
      <c r="B41" s="35" t="s">
        <v>88</v>
      </c>
      <c r="C41" s="122">
        <f>'FY1999-2003 - 3% SW TDT'!$B$10</f>
        <v>103724.92</v>
      </c>
      <c r="D41" s="122">
        <f>'FY1999-2003 - 3% SW TDT'!$B$11</f>
        <v>56869.82</v>
      </c>
      <c r="E41" s="122">
        <f>'FY1999-2003 - 3% SW TDT'!$B$12</f>
        <v>36211.5</v>
      </c>
      <c r="F41" s="122">
        <f>'FY1999-2003 - 3% SW TDT'!$B$13</f>
        <v>66801.100000000006</v>
      </c>
      <c r="G41" s="122">
        <f>'FY1999-2003 - 3% SW TDT'!$B$14</f>
        <v>89815.55</v>
      </c>
      <c r="H41" s="122">
        <f>'FY1999-2003 - 3% SW TDT'!$B$15</f>
        <v>156562.48000000001</v>
      </c>
      <c r="I41" s="122">
        <f>'FY1999-2003 - 3% SW TDT'!$B$16</f>
        <v>243332.92</v>
      </c>
      <c r="J41" s="122">
        <f>'FY1999-2003 - 3% SW TDT'!$B$17</f>
        <v>253433.88</v>
      </c>
      <c r="K41" s="122">
        <f>'FY1999-2003 - 3% SW TDT'!$B$18</f>
        <v>464932.95</v>
      </c>
      <c r="L41" s="122">
        <f>'FY1999-2003 - 3% SW TDT'!$B$19</f>
        <v>576667.42000000004</v>
      </c>
      <c r="M41" s="122">
        <f>'FY1999-2003 - 3% SW TDT'!$B$20</f>
        <v>376101.85</v>
      </c>
      <c r="N41" s="122">
        <f>'FY1999-2003 - 3% SW TDT'!$B$21</f>
        <v>198592.3</v>
      </c>
      <c r="O41" s="120">
        <f>SUM(C41:N41)</f>
        <v>2623046.69</v>
      </c>
      <c r="Q41" s="100"/>
    </row>
    <row r="42" spans="2:26" x14ac:dyDescent="0.3">
      <c r="B42" s="35" t="s">
        <v>89</v>
      </c>
      <c r="C42" s="122">
        <f>'FY1999-2003 - 3% SW TDT'!$B$33</f>
        <v>128360.92</v>
      </c>
      <c r="D42" s="122">
        <f>'FY1999-2003 - 3% SW TDT'!$B$34</f>
        <v>67575.97</v>
      </c>
      <c r="E42" s="122">
        <f>'FY1999-2003 - 3% SW TDT'!$B$35</f>
        <v>50096.66</v>
      </c>
      <c r="F42" s="122">
        <f>'FY1999-2003 - 3% SW TDT'!$B$36</f>
        <v>78715.839999999997</v>
      </c>
      <c r="G42" s="122">
        <f>'FY1999-2003 - 3% SW TDT'!$B$37</f>
        <v>100603.07</v>
      </c>
      <c r="H42" s="122">
        <f>'FY1999-2003 - 3% SW TDT'!$B$38</f>
        <v>219513.65</v>
      </c>
      <c r="I42" s="122">
        <f>'FY1999-2003 - 3% SW TDT'!$B$39</f>
        <v>283424.76</v>
      </c>
      <c r="J42" s="122">
        <f>'FY1999-2003 - 3% SW TDT'!$B$40</f>
        <v>291612.75</v>
      </c>
      <c r="K42" s="122">
        <f>'FY1999-2003 - 3% SW TDT'!$B$41</f>
        <v>570409.11</v>
      </c>
      <c r="L42" s="122">
        <f>'FY1999-2003 - 3% SW TDT'!$B$42</f>
        <v>643327.27</v>
      </c>
      <c r="M42" s="122">
        <f>'FY1999-2003 - 3% SW TDT'!$B$43</f>
        <v>360988.73</v>
      </c>
      <c r="N42" s="122">
        <f>'FY1999-2003 - 3% SW TDT'!$B$44</f>
        <v>201871.31</v>
      </c>
      <c r="O42" s="120">
        <f>SUM(C42:N42)</f>
        <v>2996500.04</v>
      </c>
      <c r="P42" s="100"/>
      <c r="Q42" s="100"/>
    </row>
    <row r="43" spans="2:26" x14ac:dyDescent="0.3">
      <c r="B43" s="35" t="s">
        <v>90</v>
      </c>
      <c r="C43" s="122">
        <f>'FY1999-2003 - 3% SW TDT'!$B$57</f>
        <v>127763.17</v>
      </c>
      <c r="D43" s="122">
        <f>'FY1999-2003 - 3% SW TDT'!$B$58</f>
        <v>76352.42</v>
      </c>
      <c r="E43" s="122">
        <f>'FY1999-2003 - 3% SW TDT'!$B$59</f>
        <v>48202.67</v>
      </c>
      <c r="F43" s="122">
        <f>'FY1999-2003 - 3% SW TDT'!$B$60</f>
        <v>81933.36</v>
      </c>
      <c r="G43" s="122">
        <f>'FY1999-2003 - 3% SW TDT'!$B$61</f>
        <v>117128.35</v>
      </c>
      <c r="H43" s="122">
        <f>'FY1999-2003 - 3% SW TDT'!$B$62</f>
        <v>242526.35</v>
      </c>
      <c r="I43" s="122">
        <f>'FY1999-2003 - 3% SW TDT'!$B$63</f>
        <v>301030.15000000002</v>
      </c>
      <c r="J43" s="122">
        <f>'FY1999-2003 - 3% SW TDT'!$B$64</f>
        <v>307258.18</v>
      </c>
      <c r="K43" s="122">
        <f>'FY1999-2003 - 3% SW TDT'!$B$65</f>
        <v>603595.80000000005</v>
      </c>
      <c r="L43" s="122">
        <f>'FY1999-2003 - 3% SW TDT'!$B$66</f>
        <v>662185.85</v>
      </c>
      <c r="M43" s="122">
        <f>'FY1999-2003 - 3% SW TDT'!$B$67</f>
        <v>355645.3</v>
      </c>
      <c r="N43" s="122">
        <f>'FY1999-2003 - 3% SW TDT'!$B$68</f>
        <v>202445.89</v>
      </c>
      <c r="O43" s="120">
        <f t="shared" ref="O43:O62" si="48">SUM(C43:N43)</f>
        <v>3126067.4899999998</v>
      </c>
    </row>
    <row r="44" spans="2:26" x14ac:dyDescent="0.3">
      <c r="B44" s="35" t="s">
        <v>91</v>
      </c>
      <c r="C44" s="122">
        <f>'FY1999-2003 - 3% SW TDT'!$B$79</f>
        <v>124489.73</v>
      </c>
      <c r="D44" s="122">
        <f>'FY1999-2003 - 3% SW TDT'!$B$80</f>
        <v>84784.52</v>
      </c>
      <c r="E44" s="122">
        <f>'FY1999-2003 - 3% SW TDT'!$B$81</f>
        <v>53852.18</v>
      </c>
      <c r="F44" s="122">
        <f>'FY1999-2003 - 3% SW TDT'!$B$82</f>
        <v>80263.34</v>
      </c>
      <c r="G44" s="122">
        <f>'FY1999-2003 - 3% SW TDT'!$B$83</f>
        <v>119727</v>
      </c>
      <c r="H44" s="122">
        <f>'FY1999-2003 - 3% SW TDT'!$B$84</f>
        <v>288984.89</v>
      </c>
      <c r="I44" s="122">
        <f>'FY1999-2003 - 3% SW TDT'!$B$85</f>
        <v>298440.51</v>
      </c>
      <c r="J44" s="122">
        <f>'FY1999-2003 - 3% SW TDT'!$B$86</f>
        <v>334595.87</v>
      </c>
      <c r="K44" s="122">
        <f>'FY1999-2003 - 3% SW TDT'!$B$87</f>
        <v>647850.04</v>
      </c>
      <c r="L44" s="122">
        <f>'FY1999-2003 - 3% SW TDT'!$B$88</f>
        <v>730547.74</v>
      </c>
      <c r="M44" s="122">
        <f>'FY1999-2003 - 3% SW TDT'!$B$89</f>
        <v>428562.62</v>
      </c>
      <c r="N44" s="122">
        <f>'FY1999-2003 - 3% SW TDT'!$B$90</f>
        <v>254948.81</v>
      </c>
      <c r="O44" s="120">
        <f t="shared" si="48"/>
        <v>3447047.2500000005</v>
      </c>
    </row>
    <row r="45" spans="2:26" x14ac:dyDescent="0.3">
      <c r="B45" s="35" t="s">
        <v>92</v>
      </c>
      <c r="C45" s="122">
        <f>'FY1999-2003 - 3% SW TDT'!$B$103</f>
        <v>156161.29999999999</v>
      </c>
      <c r="D45" s="122">
        <f>'FY1999-2003 - 3% SW TDT'!$B$104</f>
        <v>88184.69</v>
      </c>
      <c r="E45" s="122">
        <f>'FY1999-2003 - 3% SW TDT'!$B$105</f>
        <v>68615.69</v>
      </c>
      <c r="F45" s="122">
        <f>'FY1999-2003 - 3% SW TDT'!$B$106</f>
        <v>80944.05</v>
      </c>
      <c r="G45" s="122">
        <f>'FY1999-2003 - 3% SW TDT'!$B$107</f>
        <v>128733.08</v>
      </c>
      <c r="H45" s="122">
        <f>'FY1999-2003 - 3% SW TDT'!$B$108</f>
        <v>268939.34999999998</v>
      </c>
      <c r="I45" s="122">
        <f>'FY1999-2003 - 3% SW TDT'!$B$109</f>
        <v>380718.45</v>
      </c>
      <c r="J45" s="122">
        <f>'FY1999-2003 - 3% SW TDT'!$B$110</f>
        <v>389167.93</v>
      </c>
      <c r="K45" s="122">
        <f>'FY1999-2003 - 3% SW TDT'!$B$111</f>
        <v>743435.31</v>
      </c>
      <c r="L45" s="122">
        <f>'FY1999-2003 - 3% SW TDT'!$B$112</f>
        <v>761058.7</v>
      </c>
      <c r="M45" s="122">
        <f>'FY1999-2003 - 3% SW TDT'!$B$113</f>
        <v>485713.24</v>
      </c>
      <c r="N45" s="122">
        <f>'FY1999-2003 - 3% SW TDT'!$B$114</f>
        <v>288149.5</v>
      </c>
      <c r="O45" s="120">
        <f t="shared" si="48"/>
        <v>3839821.29</v>
      </c>
    </row>
    <row r="46" spans="2:26" x14ac:dyDescent="0.3">
      <c r="B46" s="35" t="s">
        <v>93</v>
      </c>
      <c r="C46" s="122">
        <f>'FY2004-2009 - 4% SW TDT'!$B$12</f>
        <v>193025.11</v>
      </c>
      <c r="D46" s="122">
        <f>'FY2004-2009 - 4% SW TDT'!$B$13</f>
        <v>102602.39</v>
      </c>
      <c r="E46" s="122">
        <f>'FY2004-2009 - 4% SW TDT'!$B$14</f>
        <v>73986.69</v>
      </c>
      <c r="F46" s="122">
        <f>'FY2004-2009 - 4% SW TDT'!$B$15</f>
        <v>107240.52</v>
      </c>
      <c r="G46" s="122">
        <f>'FY2004-2009 - 4% SW TDT'!$B$16</f>
        <v>130704.27</v>
      </c>
      <c r="H46" s="122">
        <f>'FY2004-2009 - 4% SW TDT'!$B$17</f>
        <v>308135.05</v>
      </c>
      <c r="I46" s="122">
        <f>'FY2004-2009 - 4% SW TDT'!$B$18</f>
        <v>412264.94</v>
      </c>
      <c r="J46" s="122">
        <f>'FY2004-2009 - 4% SW TDT'!$B$19</f>
        <v>408870.41</v>
      </c>
      <c r="K46" s="122">
        <f>'FY2004-2009 - 4% SW TDT'!$B$20</f>
        <v>830736.39</v>
      </c>
      <c r="L46" s="122">
        <f>'FY2004-2009 - 4% SW TDT'!$B$21</f>
        <v>914381.2</v>
      </c>
      <c r="M46" s="122">
        <f>'FY2004-2009 - 4% SW TDT'!$B$22</f>
        <v>465572.48</v>
      </c>
      <c r="N46" s="122">
        <f>'FY2004-2009 - 4% SW TDT'!$B$23</f>
        <v>220779.9</v>
      </c>
      <c r="O46" s="120">
        <f t="shared" si="48"/>
        <v>4168299.3499999996</v>
      </c>
    </row>
    <row r="47" spans="2:26" x14ac:dyDescent="0.3">
      <c r="B47" s="35" t="s">
        <v>94</v>
      </c>
      <c r="C47" s="122">
        <f>'FY2004-2009 - 4% SW TDT'!$B$35</f>
        <v>198204.93</v>
      </c>
      <c r="D47" s="122">
        <f>'FY2004-2009 - 4% SW TDT'!$B$36</f>
        <v>129283.07</v>
      </c>
      <c r="E47" s="122">
        <f>'FY2004-2009 - 4% SW TDT'!$B$37</f>
        <v>93338.96</v>
      </c>
      <c r="F47" s="122">
        <f>'FY2004-2009 - 4% SW TDT'!$B$38</f>
        <v>122624.84</v>
      </c>
      <c r="G47" s="122">
        <f>'FY2004-2009 - 4% SW TDT'!$B$39</f>
        <v>160452.60999999999</v>
      </c>
      <c r="H47" s="122">
        <f>'FY2004-2009 - 4% SW TDT'!$B$40</f>
        <v>406773.54</v>
      </c>
      <c r="I47" s="122">
        <f>'FY2004-2009 - 4% SW TDT'!$B$41</f>
        <v>377555.79</v>
      </c>
      <c r="J47" s="122">
        <f>'FY2004-2009 - 4% SW TDT'!$B$42</f>
        <v>469120.82</v>
      </c>
      <c r="K47" s="122">
        <f>'FY2004-2009 - 4% SW TDT'!$B$43</f>
        <v>952870.54</v>
      </c>
      <c r="L47" s="122">
        <f>'FY2004-2009 - 4% SW TDT'!$B$44</f>
        <v>737041.4</v>
      </c>
      <c r="M47" s="122">
        <f>'FY2004-2009 - 4% SW TDT'!$B$45</f>
        <v>448491.93</v>
      </c>
      <c r="N47" s="122">
        <f>'FY2004-2009 - 4% SW TDT'!$B$46</f>
        <v>269620.51</v>
      </c>
      <c r="O47" s="120">
        <f t="shared" si="48"/>
        <v>4365378.9400000004</v>
      </c>
    </row>
    <row r="48" spans="2:26" x14ac:dyDescent="0.3">
      <c r="B48" s="35" t="s">
        <v>95</v>
      </c>
      <c r="C48" s="122">
        <f>'FY2004-2009 - 4% SW TDT'!$B$58</f>
        <v>182176.66</v>
      </c>
      <c r="D48" s="122">
        <f>'FY2004-2009 - 4% SW TDT'!$B$59</f>
        <v>132967.44</v>
      </c>
      <c r="E48" s="122">
        <f>'FY2004-2009 - 4% SW TDT'!$B$60</f>
        <v>102341.35</v>
      </c>
      <c r="F48" s="122">
        <f>'FY2004-2009 - 4% SW TDT'!$B$61</f>
        <v>129271.02</v>
      </c>
      <c r="G48" s="122">
        <f>'FY2004-2009 - 4% SW TDT'!$B$62</f>
        <v>158672.32999999999</v>
      </c>
      <c r="H48" s="122">
        <f>'FY2004-2009 - 4% SW TDT'!$B$63</f>
        <v>360623.77</v>
      </c>
      <c r="I48" s="122">
        <f>'FY2004-2009 - 4% SW TDT'!$B$64</f>
        <v>435889.02</v>
      </c>
      <c r="J48" s="122">
        <f>'FY2004-2009 - 4% SW TDT'!$B$65</f>
        <v>484256.25</v>
      </c>
      <c r="K48" s="122">
        <f>'FY2004-2009 - 4% SW TDT'!$B$66</f>
        <v>976493.95</v>
      </c>
      <c r="L48" s="122">
        <f>'FY2004-2009 - 4% SW TDT'!$B$67</f>
        <v>953458.99</v>
      </c>
      <c r="M48" s="122">
        <f>'FY2004-2009 - 4% SW TDT'!$B$68</f>
        <v>483301.7</v>
      </c>
      <c r="N48" s="122">
        <f>'FY2004-2009 - 4% SW TDT'!$B$69</f>
        <v>345926.61</v>
      </c>
      <c r="O48" s="120">
        <f t="shared" si="48"/>
        <v>4745379.0900000008</v>
      </c>
    </row>
    <row r="49" spans="2:15" x14ac:dyDescent="0.3">
      <c r="B49" s="35" t="s">
        <v>96</v>
      </c>
      <c r="C49" s="122">
        <f>'FY2004-2009 - 4% SW TDT'!$B$81</f>
        <v>216157.62</v>
      </c>
      <c r="D49" s="122">
        <f>'FY2004-2009 - 4% SW TDT'!$B$82</f>
        <v>131482.93</v>
      </c>
      <c r="E49" s="122">
        <f>'FY2004-2009 - 4% SW TDT'!$B$83</f>
        <v>130068.15</v>
      </c>
      <c r="F49" s="122">
        <f>'FY2004-2009 - 4% SW TDT'!$B$84</f>
        <v>122021.32</v>
      </c>
      <c r="G49" s="122">
        <f>'FY2004-2009 - 4% SW TDT'!$B$85</f>
        <v>161981.91</v>
      </c>
      <c r="H49" s="122">
        <f>'FY2004-2009 - 4% SW TDT'!$B$86</f>
        <v>435558.96</v>
      </c>
      <c r="I49" s="122">
        <f>'FY2004-2009 - 4% SW TDT'!$B$87</f>
        <v>479161.53</v>
      </c>
      <c r="J49" s="122">
        <f>'FY2004-2009 - 4% SW TDT'!$B$88</f>
        <v>494415.24</v>
      </c>
      <c r="K49" s="122">
        <f>'FY2004-2009 - 4% SW TDT'!$B$89</f>
        <v>1174617.32</v>
      </c>
      <c r="L49" s="122">
        <f>'FY2004-2009 - 4% SW TDT'!$B$90</f>
        <v>1054400</v>
      </c>
      <c r="M49" s="122">
        <f>'FY2004-2009 - 4% SW TDT'!$B$91</f>
        <v>555853.63</v>
      </c>
      <c r="N49" s="122">
        <f>'FY2004-2009 - 4% SW TDT'!$B$92</f>
        <v>382728.64</v>
      </c>
      <c r="O49" s="120">
        <f t="shared" si="48"/>
        <v>5338447.25</v>
      </c>
    </row>
    <row r="50" spans="2:15" x14ac:dyDescent="0.3">
      <c r="B50" s="35" t="s">
        <v>97</v>
      </c>
      <c r="C50" s="122">
        <f>'FY2004-2009 - 4% SW TDT'!$B$106</f>
        <v>238218.47</v>
      </c>
      <c r="D50" s="122">
        <f>'FY2004-2009 - 4% SW TDT'!$B$107</f>
        <v>156324.79999999999</v>
      </c>
      <c r="E50" s="122">
        <f>'FY2004-2009 - 4% SW TDT'!$B$108</f>
        <v>131207.23000000001</v>
      </c>
      <c r="F50" s="122">
        <f>'FY2004-2009 - 4% SW TDT'!$B$109</f>
        <v>119043.18</v>
      </c>
      <c r="G50" s="122">
        <f>'FY2004-2009 - 4% SW TDT'!$B$110</f>
        <v>204480.71</v>
      </c>
      <c r="H50" s="122">
        <f>'FY2004-2009 - 4% SW TDT'!$B$111</f>
        <v>501035.98</v>
      </c>
      <c r="I50" s="122">
        <f>'FY2004-2009 - 4% SW TDT'!$B$112</f>
        <v>399592.28</v>
      </c>
      <c r="J50" s="122">
        <f>'FY2004-2009 - 4% SW TDT'!$B$113</f>
        <v>599677.25</v>
      </c>
      <c r="K50" s="122">
        <f>'FY2004-2009 - 4% SW TDT'!$B$114</f>
        <v>1154380.99</v>
      </c>
      <c r="L50" s="122">
        <f>'FY2004-2009 - 4% SW TDT'!$B$115</f>
        <v>1134983.3</v>
      </c>
      <c r="M50" s="122">
        <f>'FY2004-2009 - 4% SW TDT'!$B$116</f>
        <v>581851.53</v>
      </c>
      <c r="N50" s="122">
        <f>'FY2004-2009 - 4% SW TDT'!$B$117</f>
        <v>394043</v>
      </c>
      <c r="O50" s="120">
        <f t="shared" si="48"/>
        <v>5614838.7199999997</v>
      </c>
    </row>
    <row r="51" spans="2:15" x14ac:dyDescent="0.3">
      <c r="B51" s="35" t="s">
        <v>98</v>
      </c>
      <c r="C51" s="122">
        <f>'FY2004-2009 - 4% SW TDT'!$B$129</f>
        <v>219412.84</v>
      </c>
      <c r="D51" s="122">
        <f>'FY2004-2009 - 4% SW TDT'!$B$130</f>
        <v>120155.69</v>
      </c>
      <c r="E51" s="122">
        <f>'FY2004-2009 - 4% SW TDT'!$B$131</f>
        <v>120875.29</v>
      </c>
      <c r="F51" s="122">
        <f>'FY2004-2009 - 4% SW TDT'!$B$132</f>
        <v>125905.99</v>
      </c>
      <c r="G51" s="122">
        <f>'FY2004-2009 - 4% SW TDT'!$B$133</f>
        <v>189724.55</v>
      </c>
      <c r="H51" s="122">
        <f>'FY2004-2009 - 4% SW TDT'!$B$134</f>
        <v>392886.89</v>
      </c>
      <c r="I51" s="122">
        <f>'FY2004-2009 - 4% SW TDT'!$B$135</f>
        <v>412012.72</v>
      </c>
      <c r="J51" s="122">
        <f>'FY2004-2009 - 4% SW TDT'!$B$136</f>
        <v>478653.42</v>
      </c>
      <c r="K51" s="122">
        <f>'FY2004-2009 - 4% SW TDT'!$B$137</f>
        <v>1109430.21</v>
      </c>
      <c r="L51" s="122">
        <f>'FY2004-2009 - 4% SW TDT'!$B$138</f>
        <v>1084634.0900000001</v>
      </c>
      <c r="M51" s="122">
        <f>'FY2004-2009 - 4% SW TDT'!$B$139</f>
        <v>541151.26</v>
      </c>
      <c r="N51" s="122">
        <f>'FY2004-2009 - 4% SW TDT'!$B$140</f>
        <v>421709.36</v>
      </c>
      <c r="O51" s="120">
        <f t="shared" si="48"/>
        <v>5216552.3099999996</v>
      </c>
    </row>
    <row r="52" spans="2:15" x14ac:dyDescent="0.3">
      <c r="B52" s="35" t="s">
        <v>99</v>
      </c>
      <c r="C52" s="122">
        <f>'FY2010-2014 - 4.5% SW TDT'!$B$10</f>
        <v>212726.36</v>
      </c>
      <c r="D52" s="122">
        <f>'FY2010-2014 - 4.5% SW TDT'!$B$11</f>
        <v>138025.01</v>
      </c>
      <c r="E52" s="122">
        <f>'FY2010-2014 - 4.5% SW TDT'!$B$12</f>
        <v>125249.93</v>
      </c>
      <c r="F52" s="122">
        <f>'FY2010-2014 - 4.5% SW TDT'!$B$13</f>
        <v>129158.87</v>
      </c>
      <c r="G52" s="122">
        <f>'FY2010-2014 - 4.5% SW TDT'!$B$14</f>
        <v>175109.02</v>
      </c>
      <c r="H52" s="122">
        <f>'FY2010-2014 - 4.5% SW TDT'!$B$15</f>
        <v>414775.92</v>
      </c>
      <c r="I52" s="122">
        <f>'FY2010-2014 - 4.5% SW TDT'!$B$16</f>
        <v>418209.65</v>
      </c>
      <c r="J52" s="122">
        <f>'FY2010-2014 - 4.5% SW TDT'!$B$17</f>
        <v>497027.58</v>
      </c>
      <c r="K52" s="122">
        <f>'FY2010-2014 - 4.5% SW TDT'!$B$18</f>
        <v>1032073.34</v>
      </c>
      <c r="L52" s="122">
        <f>'FY2010-2014 - 4.5% SW TDT'!$B$19</f>
        <v>866475.23</v>
      </c>
      <c r="M52" s="122">
        <f>'FY2010-2014 - 4.5% SW TDT'!$B$20</f>
        <v>386813.73</v>
      </c>
      <c r="N52" s="122">
        <f>'FY2010-2014 - 4.5% SW TDT'!$B$21</f>
        <v>383981.96</v>
      </c>
      <c r="O52" s="120">
        <f t="shared" si="48"/>
        <v>4779626.5999999996</v>
      </c>
    </row>
    <row r="53" spans="2:15" x14ac:dyDescent="0.3">
      <c r="B53" s="35" t="s">
        <v>100</v>
      </c>
      <c r="C53" s="122">
        <f>'FY2010-2014 - 4.5% SW TDT'!$B$27</f>
        <v>211405.96</v>
      </c>
      <c r="D53" s="122">
        <f>'FY2010-2014 - 4.5% SW TDT'!$B$28</f>
        <v>123179.43</v>
      </c>
      <c r="E53" s="122">
        <f>'FY2010-2014 - 4.5% SW TDT'!$B$29</f>
        <v>153619.24</v>
      </c>
      <c r="F53" s="122">
        <f>'FY2010-2014 - 4.5% SW TDT'!$B$30</f>
        <v>130994.07</v>
      </c>
      <c r="G53" s="122">
        <f>'FY2010-2014 - 4.5% SW TDT'!$B$31</f>
        <v>160421.72</v>
      </c>
      <c r="H53" s="122">
        <f>'FY2010-2014 - 4.5% SW TDT'!$B$32</f>
        <v>494469.04</v>
      </c>
      <c r="I53" s="122">
        <f>'FY2010-2014 - 4.5% SW TDT'!$B$33</f>
        <v>497037.88</v>
      </c>
      <c r="J53" s="122">
        <f>'FY2010-2014 - 4.5% SW TDT'!$B$34</f>
        <v>572235.47</v>
      </c>
      <c r="K53" s="122">
        <f>'FY2010-2014 - 4.5% SW TDT'!$B$35</f>
        <v>1288285.06</v>
      </c>
      <c r="L53" s="122">
        <f>'FY2010-2014 - 4.5% SW TDT'!$B$36</f>
        <v>1328933.19</v>
      </c>
      <c r="M53" s="122">
        <f>'FY2010-2014 - 4.5% SW TDT'!$B$37</f>
        <v>633917.9</v>
      </c>
      <c r="N53" s="122">
        <f>'FY2010-2014 - 4.5% SW TDT'!$B$38</f>
        <v>597104.03</v>
      </c>
      <c r="O53" s="120">
        <f t="shared" si="48"/>
        <v>6191602.9900000002</v>
      </c>
    </row>
    <row r="54" spans="2:15" x14ac:dyDescent="0.3">
      <c r="B54" s="35" t="s">
        <v>101</v>
      </c>
      <c r="C54" s="122">
        <f>'FY2010-2014 - 4.5% SW TDT'!$B$44</f>
        <v>301671.45</v>
      </c>
      <c r="D54" s="122">
        <f>'FY2010-2014 - 4.5% SW TDT'!$B$45</f>
        <v>175703.82</v>
      </c>
      <c r="E54" s="122">
        <f>'FY2010-2014 - 4.5% SW TDT'!$B$46</f>
        <v>175330.05</v>
      </c>
      <c r="F54" s="122">
        <f>'FY2010-2014 - 4.5% SW TDT'!$B$47</f>
        <v>147502.22</v>
      </c>
      <c r="G54" s="122">
        <f>'FY2010-2014 - 4.5% SW TDT'!$B$48</f>
        <v>197477.61</v>
      </c>
      <c r="H54" s="122">
        <f>'FY2010-2014 - 4.5% SW TDT'!$B$49</f>
        <v>660254.23</v>
      </c>
      <c r="I54" s="122">
        <f>'FY2010-2014 - 4.5% SW TDT'!$B$50</f>
        <v>582438.92000000004</v>
      </c>
      <c r="J54" s="122">
        <f>'FY2010-2014 - 4.5% SW TDT'!$B$51</f>
        <v>690820.69</v>
      </c>
      <c r="K54" s="122">
        <f>'FY2010-2014 - 4.5% SW TDT'!$B$52</f>
        <v>1600018.1</v>
      </c>
      <c r="L54" s="122">
        <f>'FY2010-2014 - 4.5% SW TDT'!$B$53</f>
        <v>1420957.65</v>
      </c>
      <c r="M54" s="122">
        <f>'FY2010-2014 - 4.5% SW TDT'!$B$54</f>
        <v>714320.8</v>
      </c>
      <c r="N54" s="122">
        <f>'FY2010-2014 - 4.5% SW TDT'!$B$55</f>
        <v>663115.24</v>
      </c>
      <c r="O54" s="120">
        <f t="shared" si="48"/>
        <v>7329610.7800000003</v>
      </c>
    </row>
    <row r="55" spans="2:15" x14ac:dyDescent="0.3">
      <c r="B55" s="35" t="s">
        <v>102</v>
      </c>
      <c r="C55" s="122">
        <f>'FY2010-2014 - 4.5% SW TDT'!$B$61</f>
        <v>369719.42</v>
      </c>
      <c r="D55" s="122">
        <f>'FY2010-2014 - 4.5% SW TDT'!$B$62</f>
        <v>197819.14</v>
      </c>
      <c r="E55" s="122">
        <f>'FY2010-2014 - 4.5% SW TDT'!$B$63</f>
        <v>207359.09</v>
      </c>
      <c r="F55" s="122">
        <f>'FY2010-2014 - 4.5% SW TDT'!$B$64</f>
        <v>156222.46</v>
      </c>
      <c r="G55" s="122">
        <f>'FY2010-2014 - 4.5% SW TDT'!$B$65</f>
        <v>202358.72</v>
      </c>
      <c r="H55" s="122">
        <f>'FY2010-2014 - 4.5% SW TDT'!$B$66</f>
        <v>874531.17</v>
      </c>
      <c r="I55" s="122">
        <f>'FY2010-2014 - 4.5% SW TDT'!$B$67</f>
        <v>532648.93000000005</v>
      </c>
      <c r="J55" s="122">
        <f>'FY2010-2014 - 4.5% SW TDT'!$B$68</f>
        <v>758691.24</v>
      </c>
      <c r="K55" s="122">
        <f>'FY2010-2014 - 4.5% SW TDT'!$B$69</f>
        <v>1746488.92</v>
      </c>
      <c r="L55" s="122">
        <f>'FY2010-2014 - 4.5% SW TDT'!$B$70</f>
        <v>1559426.87</v>
      </c>
      <c r="M55" s="122">
        <f>'FY2010-2014 - 4.5% SW TDT'!$B$71</f>
        <v>909393.51</v>
      </c>
      <c r="N55" s="122">
        <f>'FY2010-2014 - 4.5% SW TDT'!$B$72</f>
        <v>746737.11</v>
      </c>
      <c r="O55" s="120">
        <f t="shared" si="48"/>
        <v>8261396.5800000001</v>
      </c>
    </row>
    <row r="56" spans="2:15" x14ac:dyDescent="0.3">
      <c r="B56" s="35" t="s">
        <v>103</v>
      </c>
      <c r="C56" s="122">
        <f>'FY2010-2014 - 4.5% SW TDT'!$B$78</f>
        <v>380160.89</v>
      </c>
      <c r="D56" s="122">
        <f>'FY2010-2014 - 4.5% SW TDT'!$B$79</f>
        <v>187294.86</v>
      </c>
      <c r="E56" s="122">
        <f>'FY2010-2014 - 4.5% SW TDT'!$B$80</f>
        <v>218643.85</v>
      </c>
      <c r="F56" s="122">
        <f>'FY2010-2014 - 4.5% SW TDT'!$B$81</f>
        <v>162928.44</v>
      </c>
      <c r="G56" s="122">
        <f>'FY2010-2014 - 4.5% SW TDT'!$B$82</f>
        <v>208017.18</v>
      </c>
      <c r="H56" s="122">
        <f>'FY2010-2014 - 4.5% SW TDT'!$B$83</f>
        <v>757760.33</v>
      </c>
      <c r="I56" s="122">
        <f>'FY2010-2014 - 4.5% SW TDT'!$B$84</f>
        <v>642133.82999999996</v>
      </c>
      <c r="J56" s="122">
        <f>'FY2010-2014 - 4.5% SW TDT'!$B$85</f>
        <v>879161.07</v>
      </c>
      <c r="K56" s="122">
        <f>'FY2010-2014 - 4.5% SW TDT'!$B$86</f>
        <v>1836980.982222222</v>
      </c>
      <c r="L56" s="122">
        <f>'FY2010-2014 - 4.5% SW TDT'!$B$87</f>
        <v>1801878.89</v>
      </c>
      <c r="M56" s="122">
        <f>'FY2010-2014 - 4.5% SW TDT'!$B$88</f>
        <v>1033577.98</v>
      </c>
      <c r="N56" s="122">
        <f>'FY2010-2014 - 4.5% SW TDT'!$B$89</f>
        <v>775248.77</v>
      </c>
      <c r="O56" s="120">
        <f t="shared" si="48"/>
        <v>8883787.0722222216</v>
      </c>
    </row>
    <row r="57" spans="2:15" x14ac:dyDescent="0.3">
      <c r="B57" s="35" t="s">
        <v>60</v>
      </c>
      <c r="C57" s="101">
        <f>'FY2015-2019 - 4% SW TDT'!$B$10</f>
        <v>480566.06</v>
      </c>
      <c r="D57" s="101">
        <f>'FY2015-2019 - 4% SW TDT'!$B$11</f>
        <v>244704.04</v>
      </c>
      <c r="E57" s="101">
        <f>'FY2015-2019 - 4% SW TDT'!$B$12</f>
        <v>236504.66</v>
      </c>
      <c r="F57" s="101">
        <f>'FY2015-2019 - 4% SW TDT'!$B$13</f>
        <v>212247.87</v>
      </c>
      <c r="G57" s="101">
        <f>'FY2015-2019 - 4% SW TDT'!$B$14</f>
        <v>251463</v>
      </c>
      <c r="H57" s="101">
        <f>'FY2015-2019 - 4% SW TDT'!$B$15</f>
        <v>745287.88</v>
      </c>
      <c r="I57" s="101">
        <f>'FY2015-2019 - 4% SW TDT'!$B$16</f>
        <v>756598.59</v>
      </c>
      <c r="J57" s="101">
        <f>'FY2015-2019 - 4% SW TDT'!$B$17</f>
        <v>1006647.78</v>
      </c>
      <c r="K57" s="101">
        <f>'FY2015-2019 - 4% SW TDT'!$B$18</f>
        <v>1838240.71</v>
      </c>
      <c r="L57" s="101">
        <f>'FY2015-2019 - 4% SW TDT'!$B$19</f>
        <v>2197315.63</v>
      </c>
      <c r="M57" s="101">
        <f>'FY2015-2019 - 4% SW TDT'!$B$20</f>
        <v>1124446.54</v>
      </c>
      <c r="N57" s="101">
        <f>'FY2015-2019 - 4% SW TDT'!$B$21</f>
        <v>964406.11</v>
      </c>
      <c r="O57" s="120">
        <f t="shared" si="48"/>
        <v>10058428.869999999</v>
      </c>
    </row>
    <row r="58" spans="2:15" x14ac:dyDescent="0.3">
      <c r="B58" s="35" t="s">
        <v>64</v>
      </c>
      <c r="C58" s="101">
        <f>'FY2015-2019 - 4% SW TDT'!$B$26</f>
        <v>558200.31000000006</v>
      </c>
      <c r="D58" s="101">
        <f>'FY2015-2019 - 4% SW TDT'!$B$27</f>
        <v>282897.56</v>
      </c>
      <c r="E58" s="101">
        <f>'FY2015-2019 - 4% SW TDT'!$B$28</f>
        <v>266680.05</v>
      </c>
      <c r="F58" s="101">
        <f>'FY2015-2019 - 4% SW TDT'!$B$29</f>
        <v>219771.69</v>
      </c>
      <c r="G58" s="101">
        <f>'FY2015-2019 - 4% SW TDT'!$B$30</f>
        <v>271236.27</v>
      </c>
      <c r="H58" s="101">
        <f>'FY2015-2019 - 4% SW TDT'!$B$31</f>
        <v>886194.76</v>
      </c>
      <c r="I58" s="101">
        <f>'FY2015-2019 - 4% SW TDT'!$B$32</f>
        <v>803299.03</v>
      </c>
      <c r="J58" s="101">
        <f>'FY2015-2019 - 4% SW TDT'!$B$33</f>
        <v>1035563.05</v>
      </c>
      <c r="K58" s="101">
        <f>'FY2015-2019 - 4% SW TDT'!$B$34</f>
        <v>2087895.3</v>
      </c>
      <c r="L58" s="101">
        <f>'FY2015-2019 - 4% SW TDT'!$B$35</f>
        <v>2462734.59</v>
      </c>
      <c r="M58" s="101">
        <f>'FY2015-2019 - 4% SW TDT'!$B$36</f>
        <v>1052389.99</v>
      </c>
      <c r="N58" s="101">
        <f>'FY2015-2019 - 4% SW TDT'!$B$37</f>
        <v>948775.44</v>
      </c>
      <c r="O58" s="120">
        <f t="shared" si="48"/>
        <v>10875638.039999999</v>
      </c>
    </row>
    <row r="59" spans="2:15" x14ac:dyDescent="0.3">
      <c r="B59" s="35" t="s">
        <v>68</v>
      </c>
      <c r="C59" s="101">
        <f>'FY2015-2019 - 4% SW TDT'!$B$42</f>
        <v>692011.9</v>
      </c>
      <c r="D59" s="101">
        <f>'FY2015-2019 - 4% SW TDT'!$B$43</f>
        <v>327140.26</v>
      </c>
      <c r="E59" s="101">
        <f>'FY2015-2019 - 4% SW TDT'!$B$44</f>
        <v>280692.63</v>
      </c>
      <c r="F59" s="101">
        <f>'FY2015-2019 - 4% SW TDT'!$B$45</f>
        <v>228864.33</v>
      </c>
      <c r="G59" s="101">
        <f>'FY2015-2019 - 4% SW TDT'!$B$46</f>
        <v>287857.63</v>
      </c>
      <c r="H59" s="101">
        <f>'FY2015-2019 - 4% SW TDT'!$B$47</f>
        <v>906563.68</v>
      </c>
      <c r="I59" s="101">
        <f>'FY2015-2019 - 4% SW TDT'!$B$48</f>
        <v>979209.5</v>
      </c>
      <c r="J59" s="101">
        <f>'FY2015-2019 - 4% SW TDT'!$B$49</f>
        <v>1108886.1100000001</v>
      </c>
      <c r="K59" s="101">
        <f>'FY2015-2019 - 4% SW TDT'!$B$50</f>
        <v>2302044.1800000002</v>
      </c>
      <c r="L59" s="101">
        <f>'FY2015-2019 - 4% SW TDT'!$B$51</f>
        <v>2564578.59</v>
      </c>
      <c r="M59" s="101">
        <f>'FY2015-2019 - 4% SW TDT'!$B$52</f>
        <v>1114086.49</v>
      </c>
      <c r="N59" s="101">
        <f>'FY2015-2019 - 4% SW TDT'!$B$53</f>
        <v>971301.15</v>
      </c>
      <c r="O59" s="120">
        <f t="shared" si="48"/>
        <v>11763236.450000001</v>
      </c>
    </row>
    <row r="60" spans="2:15" x14ac:dyDescent="0.3">
      <c r="B60" s="35" t="s">
        <v>72</v>
      </c>
      <c r="C60" s="101">
        <f>'FY2015-2019 - 4% SW TDT'!$B$58</f>
        <v>675410.72</v>
      </c>
      <c r="D60" s="101">
        <f>'FY2015-2019 - 4% SW TDT'!$B$59</f>
        <v>412241.21</v>
      </c>
      <c r="E60" s="101">
        <f>'FY2015-2019 - 4% SW TDT'!$B$60</f>
        <v>325764.93</v>
      </c>
      <c r="F60" s="101">
        <f>'FY2015-2019 - 4% SW TDT'!$B$61</f>
        <v>250666.13</v>
      </c>
      <c r="G60" s="101">
        <f>'FY2015-2019 - 4% SW TDT'!$B$62</f>
        <v>312975.59000000003</v>
      </c>
      <c r="H60" s="101">
        <f>'FY2015-2019 - 4% SW TDT'!$B$63</f>
        <v>1130785.1599999999</v>
      </c>
      <c r="I60" s="101">
        <f>'FY2015-2019 - 4% SW TDT'!$B$64</f>
        <v>872808.85</v>
      </c>
      <c r="J60" s="101">
        <f>'FY2015-2019 - 4% SW TDT'!$B$65</f>
        <v>1139846.98</v>
      </c>
      <c r="K60" s="101">
        <f>'FY2015-2019 - 4% SW TDT'!$B$66</f>
        <v>2710621.08</v>
      </c>
      <c r="L60" s="101">
        <f>'FY2015-2019 - 4% SW TDT'!$B$67</f>
        <v>2668633.2000000002</v>
      </c>
      <c r="M60" s="101">
        <f>'FY2015-2019 - 4% SW TDT'!$B$68</f>
        <v>1328333.82</v>
      </c>
      <c r="N60" s="101">
        <f>'FY2015-2019 - 4% SW TDT'!$B$69</f>
        <v>1035782.48</v>
      </c>
      <c r="O60" s="120">
        <f t="shared" si="48"/>
        <v>12863870.150000002</v>
      </c>
    </row>
    <row r="61" spans="2:15" x14ac:dyDescent="0.3">
      <c r="B61" s="35" t="s">
        <v>76</v>
      </c>
      <c r="C61" s="101">
        <f>'FY2015-2019 - 4% SW TDT'!$B$74</f>
        <v>831515.29</v>
      </c>
      <c r="D61" s="101">
        <f>'FY2015-2019 - 4% SW TDT'!$B$75</f>
        <v>488144.91</v>
      </c>
      <c r="E61" s="101">
        <f>'FY2015-2019 - 4% SW TDT'!$B$76</f>
        <v>336159.48</v>
      </c>
      <c r="F61" s="101">
        <f>'FY2015-2019 - 4% SW TDT'!$B$77</f>
        <v>307487.96999999997</v>
      </c>
      <c r="G61" s="101">
        <f>'FY2015-2019 - 4% SW TDT'!$B$78</f>
        <v>354534.87</v>
      </c>
      <c r="H61" s="101">
        <f>'FY2015-2019 - 4% SW TDT'!$B$79</f>
        <v>1157967.8500000001</v>
      </c>
      <c r="I61" s="101">
        <f>'FY2015-2019 - 4% SW TDT'!$B$80</f>
        <v>1028612.66</v>
      </c>
      <c r="J61" s="101">
        <f>'FY2015-2019 - 4% SW TDT'!$B$81</f>
        <v>1371010.18</v>
      </c>
      <c r="K61" s="101">
        <f>'FY2015-2019 - 4% SW TDT'!$B$82</f>
        <v>2791990.9</v>
      </c>
      <c r="L61" s="101">
        <f>'FY2015-2019 - 4% SW TDT'!$B$83</f>
        <v>2727529.08</v>
      </c>
      <c r="M61" s="101">
        <f>'FY2015-2019 - 4% SW TDT'!$B$84</f>
        <v>1463761.46</v>
      </c>
      <c r="N61" s="101">
        <f>'FY2015-2019 - 4% SW TDT'!$B$85</f>
        <v>992931.61</v>
      </c>
      <c r="O61" s="120">
        <f t="shared" si="48"/>
        <v>13851646.259999998</v>
      </c>
    </row>
    <row r="62" spans="2:15" x14ac:dyDescent="0.3">
      <c r="B62" s="35" t="s">
        <v>80</v>
      </c>
      <c r="C62" s="101">
        <f>'FY2020-Present - 5% SW TDT'!$B$10</f>
        <v>799310.65</v>
      </c>
      <c r="D62" s="101">
        <f>'FY2020-Present - 5% SW TDT'!$B$11</f>
        <v>361132.49</v>
      </c>
      <c r="E62" s="101">
        <f>'FY2020-Present - 5% SW TDT'!$B$12</f>
        <v>357799.22</v>
      </c>
      <c r="F62" s="101">
        <f>'FY2020-Present - 5% SW TDT'!$B$13</f>
        <v>328471.15999999997</v>
      </c>
      <c r="G62" s="101">
        <f>'FY2020-Present - 5% SW TDT'!$B$14</f>
        <v>365559.62</v>
      </c>
      <c r="H62" s="101">
        <f>'FY2020-Present - 5% SW TDT'!$B$15</f>
        <v>677696.57</v>
      </c>
      <c r="I62" s="101">
        <f>'FY2020-Present - 5% SW TDT'!$B$16</f>
        <v>151905.13</v>
      </c>
      <c r="J62" s="101">
        <f>'FY2020-Present - 5% SW TDT'!$B$17</f>
        <v>653886.94999999995</v>
      </c>
      <c r="K62" s="101">
        <f>'FY2020-Present - 5% SW TDT'!$B$18</f>
        <v>2625812.71</v>
      </c>
      <c r="L62" s="101">
        <f>'FY2020-Present - 5% SW TDT'!$B$19</f>
        <v>2823106.8</v>
      </c>
      <c r="M62" s="101">
        <f>'FY2020-Present - 5% SW TDT'!$B$20</f>
        <v>2205495.38</v>
      </c>
      <c r="N62" s="101">
        <f>'FY2020-Present - 5% SW TDT'!$B$21</f>
        <v>1520691.17</v>
      </c>
      <c r="O62" s="120">
        <f t="shared" si="48"/>
        <v>12870867.85</v>
      </c>
    </row>
    <row r="63" spans="2:15" x14ac:dyDescent="0.3">
      <c r="B63" s="35" t="s">
        <v>135</v>
      </c>
      <c r="C63" s="101">
        <f>'FY2020-Present - 5% SW TDT'!$B$26</f>
        <v>1350318.8</v>
      </c>
      <c r="D63" s="101">
        <f>'FY2020-Present - 5% SW TDT'!$B$27</f>
        <v>670335.93000000005</v>
      </c>
      <c r="E63" s="101">
        <f>'FY2020-Present - 5% SW TDT'!$B$28</f>
        <v>577172.19999999995</v>
      </c>
      <c r="F63" s="101">
        <f>'FY2020-Present - 5% SW TDT'!$B$29</f>
        <v>448827.43</v>
      </c>
      <c r="G63" s="101">
        <f>'FY2020-Present - 5% SW TDT'!$B$30</f>
        <v>487921.36</v>
      </c>
      <c r="H63" s="101">
        <f>'FY2020-Present - 5% SW TDT'!$B$31</f>
        <v>1873590.35</v>
      </c>
      <c r="I63" s="101">
        <f>'FY2020-Present - 5% SW TDT'!$B$32</f>
        <v>1973219.38</v>
      </c>
      <c r="J63" s="101">
        <f>'FY2020-Present - 5% SW TDT'!$B$33</f>
        <v>2487791.27</v>
      </c>
      <c r="K63" s="101">
        <f>'FY2020-Present - 5% SW TDT'!$B$34</f>
        <v>3868458.9619999998</v>
      </c>
      <c r="L63" s="101">
        <f>'FY2020-Present - 5% SW TDT'!$B$35</f>
        <v>4543680.8479999993</v>
      </c>
      <c r="M63" s="101">
        <f>'FY2020-Present - 5% SW TDT'!$B$36</f>
        <v>2961120.3</v>
      </c>
      <c r="N63" s="101">
        <f>'FY2020-Present - 5% SW TDT'!$B$37</f>
        <v>1920775.72</v>
      </c>
      <c r="O63" s="120">
        <f t="shared" ref="O63" si="49">SUM(C63:N63)</f>
        <v>23163212.550000001</v>
      </c>
    </row>
    <row r="64" spans="2:15" x14ac:dyDescent="0.3">
      <c r="B64" s="35" t="s">
        <v>146</v>
      </c>
      <c r="C64" s="101">
        <f>'FY2020-Present - 5% SW TDT'!$B$42</f>
        <v>1708326.91</v>
      </c>
      <c r="D64" s="101">
        <f>'FY2020-Present - 5% SW TDT'!$B$43</f>
        <v>769154.13</v>
      </c>
      <c r="E64" s="101">
        <f>'FY2020-Present - 5% SW TDT'!$B$44</f>
        <v>667494.94999999995</v>
      </c>
      <c r="F64" s="101">
        <f>'FY2020-Present - 5% SW TDT'!$B$45</f>
        <v>565716.66</v>
      </c>
      <c r="G64" s="101">
        <f>'FY2020-Present - 5% SW TDT'!$B$46</f>
        <v>629915.98</v>
      </c>
      <c r="H64" s="101">
        <f>'FY2020-Present - 5% SW TDT'!$B$47</f>
        <v>2075862.8640000001</v>
      </c>
      <c r="I64" s="101">
        <f>'FY2020-Present - 5% SW TDT'!$B$48</f>
        <v>2263028.44</v>
      </c>
      <c r="J64" s="101">
        <f>'FY2020-Present - 5% SW TDT'!$B$49</f>
        <v>2411529.1800000002</v>
      </c>
      <c r="K64" s="101">
        <f>'FY2020-Present - 5% SW TDT'!$B$50</f>
        <v>4509916.95</v>
      </c>
      <c r="L64" s="101">
        <f>'FY2020-Present - 5% SW TDT'!$B$51</f>
        <v>5289249.46</v>
      </c>
      <c r="M64" s="101">
        <f>'FY2020-Present - 5% SW TDT'!$B$52</f>
        <v>2331924.63</v>
      </c>
      <c r="N64" s="101">
        <f>'FY2020-Present - 5% SW TDT'!$B$53</f>
        <v>1873772.01</v>
      </c>
      <c r="O64" s="120">
        <f t="shared" ref="O64" si="50">SUM(C64:N64)</f>
        <v>25095892.164000001</v>
      </c>
    </row>
    <row r="65" spans="2:30" x14ac:dyDescent="0.3">
      <c r="B65" s="35" t="s">
        <v>151</v>
      </c>
      <c r="C65" s="101">
        <f>'FY2020-Present - 5% SW TDT'!$B$58</f>
        <v>1639809.93</v>
      </c>
      <c r="D65" s="101">
        <f>'FY2020-Present - 5% SW TDT'!$B$59</f>
        <v>793537.39</v>
      </c>
      <c r="E65" s="101">
        <f>'FY2020-Present - 5% SW TDT'!$B$60</f>
        <v>596201.79</v>
      </c>
      <c r="F65" s="101">
        <f>'FY2020-Present - 5% SW TDT'!$B$61</f>
        <v>512267.05</v>
      </c>
      <c r="G65" s="101">
        <f>'FY2020-Present - 5% SW TDT'!$B$62</f>
        <v>639643</v>
      </c>
      <c r="H65" s="101">
        <f>'FY2020-Present - 5% SW TDT'!$B$63</f>
        <v>1957997.59</v>
      </c>
      <c r="I65" s="101">
        <f>'FY2020-Present - 5% SW TDT'!$B$64</f>
        <v>2235643.66</v>
      </c>
      <c r="J65" s="101">
        <f>'FY2020-Present - 5% SW TDT'!$B$65</f>
        <v>2333705.41</v>
      </c>
      <c r="K65" s="101">
        <f>'FY2020-Present - 5% SW TDT'!$B$66</f>
        <v>4473411.5</v>
      </c>
      <c r="L65" s="101">
        <f>'FY2020-Present - 5% SW TDT'!$B$67</f>
        <v>4851415.1100000003</v>
      </c>
      <c r="M65" s="101">
        <f>'FY2020-Present - 5% SW TDT'!$B$68</f>
        <v>2176669.61</v>
      </c>
      <c r="N65" s="101">
        <f>'FY2020-Present - 5% SW TDT'!$B$69</f>
        <v>1807631.6</v>
      </c>
      <c r="O65" s="120">
        <f t="shared" ref="O65" si="51">SUM(C65:N65)</f>
        <v>24017933.640000001</v>
      </c>
    </row>
    <row r="66" spans="2:30" x14ac:dyDescent="0.3">
      <c r="B66" s="35" t="s">
        <v>156</v>
      </c>
      <c r="C66" s="101">
        <f>AB72</f>
        <v>1547462.78</v>
      </c>
      <c r="D66" s="101">
        <f>AB73</f>
        <v>846016.21</v>
      </c>
      <c r="E66" s="101">
        <f>AB74</f>
        <v>651442.53</v>
      </c>
      <c r="F66" s="101">
        <f>AB75</f>
        <v>549744.56400000001</v>
      </c>
      <c r="G66" s="101">
        <f>AB76</f>
        <v>597824.02</v>
      </c>
      <c r="H66" s="101">
        <f>AB77</f>
        <v>2254454.14</v>
      </c>
      <c r="I66" s="101">
        <f>AB78</f>
        <v>1832670.37</v>
      </c>
      <c r="J66" s="101">
        <f>AB79</f>
        <v>2593171.92</v>
      </c>
      <c r="K66" s="101">
        <f>AB80</f>
        <v>4761009.47</v>
      </c>
      <c r="L66" s="101">
        <f>AB81</f>
        <v>4594612.99</v>
      </c>
      <c r="M66" s="101">
        <f>AB82</f>
        <v>2271316.09</v>
      </c>
      <c r="N66" s="101">
        <f>AB83</f>
        <v>1528063.52</v>
      </c>
      <c r="O66" s="120">
        <f>SUM(C66:N66)</f>
        <v>24027788.604000002</v>
      </c>
    </row>
    <row r="67" spans="2:30" x14ac:dyDescent="0.3">
      <c r="B67" s="35" t="s">
        <v>161</v>
      </c>
      <c r="C67" s="101">
        <f>AC72</f>
        <v>1632296.19</v>
      </c>
      <c r="D67" s="101">
        <f>AC73</f>
        <v>515359.02800000005</v>
      </c>
      <c r="E67" s="101">
        <f>AC74</f>
        <v>659347.54800000007</v>
      </c>
      <c r="F67" s="101">
        <f>AC75</f>
        <v>491268.92000000016</v>
      </c>
      <c r="G67" s="101">
        <f>AC76</f>
        <v>539299.78</v>
      </c>
      <c r="H67" s="101">
        <f>AC77</f>
        <v>2008467.2600000002</v>
      </c>
      <c r="I67" s="101">
        <f>AC78</f>
        <v>2035100.62</v>
      </c>
      <c r="J67" s="101">
        <f>AC79</f>
        <v>2876430.1239999998</v>
      </c>
      <c r="K67" s="101">
        <f>AC80</f>
        <v>4451125.2</v>
      </c>
      <c r="L67" s="101">
        <f>AC81</f>
        <v>4841978.4160000002</v>
      </c>
      <c r="M67" s="101">
        <f>AC82</f>
        <v>2499242.1320000002</v>
      </c>
      <c r="N67" s="101">
        <f>AC83</f>
        <v>1448823.3480000002</v>
      </c>
      <c r="O67" s="120">
        <f>SUM(C67:N67)</f>
        <v>23998738.566</v>
      </c>
    </row>
    <row r="68" spans="2:30" x14ac:dyDescent="0.3">
      <c r="B68" s="35" t="s">
        <v>166</v>
      </c>
      <c r="C68" s="101">
        <f>AD72</f>
        <v>1802518.0280000002</v>
      </c>
      <c r="D68" s="101">
        <f>AD73</f>
        <v>876611.26400000008</v>
      </c>
      <c r="E68" s="101">
        <f>AD74</f>
        <v>575757.70799999998</v>
      </c>
      <c r="F68" s="101">
        <f>AD75</f>
        <v>529348.24400000006</v>
      </c>
      <c r="G68" s="101">
        <f>AD76</f>
        <v>0</v>
      </c>
      <c r="H68" s="101">
        <f>AD77</f>
        <v>0</v>
      </c>
      <c r="I68" s="101">
        <f>AD78</f>
        <v>0</v>
      </c>
      <c r="J68" s="101">
        <f>AD79</f>
        <v>0</v>
      </c>
      <c r="K68" s="101">
        <f>AD80</f>
        <v>0</v>
      </c>
      <c r="L68" s="101">
        <f>AD81</f>
        <v>0</v>
      </c>
      <c r="M68" s="101">
        <f>AD82</f>
        <v>0</v>
      </c>
      <c r="N68" s="101">
        <f>AD83</f>
        <v>0</v>
      </c>
      <c r="O68" s="120">
        <f>SUM(C68:N68)</f>
        <v>3784235.2440000004</v>
      </c>
    </row>
    <row r="69" spans="2:30" ht="13.5" thickBot="1" x14ac:dyDescent="0.35"/>
    <row r="70" spans="2:30" ht="13.5" thickBot="1" x14ac:dyDescent="0.35">
      <c r="B70" s="127" t="s">
        <v>143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9"/>
    </row>
    <row r="71" spans="2:30" x14ac:dyDescent="0.3">
      <c r="B71" s="38"/>
      <c r="C71" s="37" t="s">
        <v>88</v>
      </c>
      <c r="D71" s="37" t="s">
        <v>89</v>
      </c>
      <c r="E71" s="37" t="s">
        <v>90</v>
      </c>
      <c r="F71" s="37" t="s">
        <v>91</v>
      </c>
      <c r="G71" s="37" t="s">
        <v>92</v>
      </c>
      <c r="H71" s="37" t="s">
        <v>93</v>
      </c>
      <c r="I71" s="37" t="s">
        <v>94</v>
      </c>
      <c r="J71" s="37" t="s">
        <v>95</v>
      </c>
      <c r="K71" s="37" t="s">
        <v>96</v>
      </c>
      <c r="L71" s="37" t="s">
        <v>97</v>
      </c>
      <c r="M71" s="37" t="s">
        <v>98</v>
      </c>
      <c r="N71" s="37" t="s">
        <v>99</v>
      </c>
      <c r="O71" s="37" t="s">
        <v>100</v>
      </c>
      <c r="P71" s="37" t="s">
        <v>101</v>
      </c>
      <c r="Q71" s="37" t="s">
        <v>102</v>
      </c>
      <c r="R71" s="37" t="s">
        <v>103</v>
      </c>
      <c r="S71" s="37" t="s">
        <v>60</v>
      </c>
      <c r="T71" s="37" t="s">
        <v>64</v>
      </c>
      <c r="U71" s="37" t="s">
        <v>68</v>
      </c>
      <c r="V71" s="37" t="s">
        <v>72</v>
      </c>
      <c r="W71" s="37" t="s">
        <v>76</v>
      </c>
      <c r="X71" s="37" t="s">
        <v>80</v>
      </c>
      <c r="Y71" s="37" t="s">
        <v>135</v>
      </c>
      <c r="Z71" s="37" t="s">
        <v>146</v>
      </c>
      <c r="AA71" s="37" t="s">
        <v>151</v>
      </c>
      <c r="AB71" s="37" t="s">
        <v>156</v>
      </c>
      <c r="AC71" s="37" t="s">
        <v>161</v>
      </c>
      <c r="AD71" s="37" t="s">
        <v>166</v>
      </c>
    </row>
    <row r="72" spans="2:30" x14ac:dyDescent="0.3">
      <c r="B72" s="102" t="s">
        <v>0</v>
      </c>
      <c r="C72" s="122">
        <f>'FY1999-2003 - 3% SW TDT'!$B$10</f>
        <v>103724.92</v>
      </c>
      <c r="D72" s="122">
        <f>'FY1999-2003 - 3% SW TDT'!$B$33</f>
        <v>128360.92</v>
      </c>
      <c r="E72" s="122">
        <f>'FY1999-2003 - 3% SW TDT'!$B$57</f>
        <v>127763.17</v>
      </c>
      <c r="F72" s="122">
        <f>'FY1999-2003 - 3% SW TDT'!$B$79</f>
        <v>124489.73</v>
      </c>
      <c r="G72" s="122">
        <f>'FY1999-2003 - 3% SW TDT'!$B$103</f>
        <v>156161.29999999999</v>
      </c>
      <c r="H72" s="122">
        <f>'FY2004-2009 - 4% SW TDT'!$B$12</f>
        <v>193025.11</v>
      </c>
      <c r="I72" s="122">
        <f>'FY2004-2009 - 4% SW TDT'!$B$35</f>
        <v>198204.93</v>
      </c>
      <c r="J72" s="122">
        <f>'FY2004-2009 - 4% SW TDT'!$B$58</f>
        <v>182176.66</v>
      </c>
      <c r="K72" s="122">
        <f>'FY2004-2009 - 4% SW TDT'!$B$81</f>
        <v>216157.62</v>
      </c>
      <c r="L72" s="122">
        <f>'FY2004-2009 - 4% SW TDT'!$B$106</f>
        <v>238218.47</v>
      </c>
      <c r="M72" s="122">
        <f>'FY2004-2009 - 4% SW TDT'!$B$129</f>
        <v>219412.84</v>
      </c>
      <c r="N72" s="122">
        <f>'FY2010-2014 - 4.5% SW TDT'!$B$10</f>
        <v>212726.36</v>
      </c>
      <c r="O72" s="122">
        <f>'FY2010-2014 - 4.5% SW TDT'!$B$27</f>
        <v>211405.96</v>
      </c>
      <c r="P72" s="122">
        <f>'FY2010-2014 - 4.5% SW TDT'!$B$44</f>
        <v>301671.45</v>
      </c>
      <c r="Q72" s="122">
        <f>'FY2010-2014 - 4.5% SW TDT'!$B$61</f>
        <v>369719.42</v>
      </c>
      <c r="R72" s="122">
        <f>'FY2010-2014 - 4.5% SW TDT'!$B$78</f>
        <v>380160.89</v>
      </c>
      <c r="S72" s="101">
        <f>'FY2015-2019 - 4% SW TDT'!$B$10</f>
        <v>480566.06</v>
      </c>
      <c r="T72" s="101">
        <f>'FY2015-2019 - 4% SW TDT'!$B$26</f>
        <v>558200.31000000006</v>
      </c>
      <c r="U72" s="101">
        <f>'FY2015-2019 - 4% SW TDT'!$B$42</f>
        <v>692011.9</v>
      </c>
      <c r="V72" s="101">
        <f>'FY2015-2019 - 4% SW TDT'!$B$58</f>
        <v>675410.72</v>
      </c>
      <c r="W72" s="101">
        <f>'FY2015-2019 - 4% SW TDT'!$B$74</f>
        <v>831515.29</v>
      </c>
      <c r="X72" s="101">
        <f>'FY2020-Present - 5% SW TDT'!$B$10</f>
        <v>799310.65</v>
      </c>
      <c r="Y72" s="101">
        <f>'FY2020-Present - 5% SW TDT'!$B$26</f>
        <v>1350318.8</v>
      </c>
      <c r="Z72" s="101">
        <f>'FY2020-Present - 5% SW TDT'!$B$42</f>
        <v>1708326.91</v>
      </c>
      <c r="AA72" s="101">
        <f>'FY2020-Present - 5% SW TDT'!$B$58</f>
        <v>1639809.93</v>
      </c>
      <c r="AB72" s="101">
        <f>'FY2020-Present - 5% SW TDT'!B74</f>
        <v>1547462.78</v>
      </c>
      <c r="AC72" s="101">
        <f>'FY2020-Present - 5% SW TDT'!B90</f>
        <v>1632296.19</v>
      </c>
      <c r="AD72" s="101">
        <f>'FY2020-Present - 5% SW TDT'!B106</f>
        <v>1802518.0280000002</v>
      </c>
    </row>
    <row r="73" spans="2:30" x14ac:dyDescent="0.3">
      <c r="B73" s="102" t="s">
        <v>1</v>
      </c>
      <c r="C73" s="122">
        <f>'FY1999-2003 - 3% SW TDT'!$B$11</f>
        <v>56869.82</v>
      </c>
      <c r="D73" s="122">
        <f>'FY1999-2003 - 3% SW TDT'!$B$34</f>
        <v>67575.97</v>
      </c>
      <c r="E73" s="122">
        <f>'FY1999-2003 - 3% SW TDT'!$B$58</f>
        <v>76352.42</v>
      </c>
      <c r="F73" s="122">
        <f>'FY1999-2003 - 3% SW TDT'!$B$80</f>
        <v>84784.52</v>
      </c>
      <c r="G73" s="122">
        <f>'FY1999-2003 - 3% SW TDT'!$B$104</f>
        <v>88184.69</v>
      </c>
      <c r="H73" s="122">
        <f>'FY2004-2009 - 4% SW TDT'!$B$13</f>
        <v>102602.39</v>
      </c>
      <c r="I73" s="122">
        <f>'FY2004-2009 - 4% SW TDT'!$B$36</f>
        <v>129283.07</v>
      </c>
      <c r="J73" s="122">
        <f>'FY2004-2009 - 4% SW TDT'!$B$59</f>
        <v>132967.44</v>
      </c>
      <c r="K73" s="122">
        <f>'FY2004-2009 - 4% SW TDT'!$B$82</f>
        <v>131482.93</v>
      </c>
      <c r="L73" s="122">
        <f>'FY2004-2009 - 4% SW TDT'!$B$107</f>
        <v>156324.79999999999</v>
      </c>
      <c r="M73" s="122">
        <f>'FY2004-2009 - 4% SW TDT'!$B$130</f>
        <v>120155.69</v>
      </c>
      <c r="N73" s="122">
        <f>'FY2010-2014 - 4.5% SW TDT'!$B$11</f>
        <v>138025.01</v>
      </c>
      <c r="O73" s="122">
        <f>'FY2010-2014 - 4.5% SW TDT'!$B$28</f>
        <v>123179.43</v>
      </c>
      <c r="P73" s="122">
        <f>'FY2010-2014 - 4.5% SW TDT'!$B$45</f>
        <v>175703.82</v>
      </c>
      <c r="Q73" s="122">
        <f>'FY2010-2014 - 4.5% SW TDT'!$B$62</f>
        <v>197819.14</v>
      </c>
      <c r="R73" s="122">
        <f>'FY2010-2014 - 4.5% SW TDT'!$B$79</f>
        <v>187294.86</v>
      </c>
      <c r="S73" s="101">
        <f>'FY2015-2019 - 4% SW TDT'!$B$11</f>
        <v>244704.04</v>
      </c>
      <c r="T73" s="101">
        <f>'FY2015-2019 - 4% SW TDT'!$B$27</f>
        <v>282897.56</v>
      </c>
      <c r="U73" s="101">
        <f>'FY2015-2019 - 4% SW TDT'!$B$43</f>
        <v>327140.26</v>
      </c>
      <c r="V73" s="101">
        <f>'FY2015-2019 - 4% SW TDT'!$B$59</f>
        <v>412241.21</v>
      </c>
      <c r="W73" s="101">
        <f>'FY2015-2019 - 4% SW TDT'!$B$75</f>
        <v>488144.91</v>
      </c>
      <c r="X73" s="101">
        <f>'FY2020-Present - 5% SW TDT'!$B$11</f>
        <v>361132.49</v>
      </c>
      <c r="Y73" s="101">
        <f>'FY2020-Present - 5% SW TDT'!$B$27</f>
        <v>670335.93000000005</v>
      </c>
      <c r="Z73" s="101">
        <f>'FY2020-Present - 5% SW TDT'!$B$43</f>
        <v>769154.13</v>
      </c>
      <c r="AA73" s="101">
        <f>'FY2020-Present - 5% SW TDT'!$B$59</f>
        <v>793537.39</v>
      </c>
      <c r="AB73" s="101">
        <f>'FY2020-Present - 5% SW TDT'!B75</f>
        <v>846016.21</v>
      </c>
      <c r="AC73" s="101">
        <f>'FY2020-Present - 5% SW TDT'!B91</f>
        <v>515359.02800000005</v>
      </c>
      <c r="AD73" s="101">
        <f>'FY2020-Present - 5% SW TDT'!B107</f>
        <v>876611.26400000008</v>
      </c>
    </row>
    <row r="74" spans="2:30" x14ac:dyDescent="0.3">
      <c r="B74" s="102" t="s">
        <v>2</v>
      </c>
      <c r="C74" s="122">
        <f>'FY1999-2003 - 3% SW TDT'!$B$12</f>
        <v>36211.5</v>
      </c>
      <c r="D74" s="122">
        <f>'FY1999-2003 - 3% SW TDT'!$B$35</f>
        <v>50096.66</v>
      </c>
      <c r="E74" s="122">
        <f>'FY1999-2003 - 3% SW TDT'!$B$59</f>
        <v>48202.67</v>
      </c>
      <c r="F74" s="122">
        <f>'FY1999-2003 - 3% SW TDT'!$B$81</f>
        <v>53852.18</v>
      </c>
      <c r="G74" s="122">
        <f>'FY1999-2003 - 3% SW TDT'!$B$105</f>
        <v>68615.69</v>
      </c>
      <c r="H74" s="122">
        <f>'FY2004-2009 - 4% SW TDT'!$B$14</f>
        <v>73986.69</v>
      </c>
      <c r="I74" s="122">
        <f>'FY2004-2009 - 4% SW TDT'!$B$37</f>
        <v>93338.96</v>
      </c>
      <c r="J74" s="122">
        <f>'FY2004-2009 - 4% SW TDT'!$B$60</f>
        <v>102341.35</v>
      </c>
      <c r="K74" s="122">
        <f>'FY2004-2009 - 4% SW TDT'!$B$83</f>
        <v>130068.15</v>
      </c>
      <c r="L74" s="122">
        <f>'FY2004-2009 - 4% SW TDT'!$B$108</f>
        <v>131207.23000000001</v>
      </c>
      <c r="M74" s="122">
        <f>'FY2004-2009 - 4% SW TDT'!$B$131</f>
        <v>120875.29</v>
      </c>
      <c r="N74" s="122">
        <f>'FY2010-2014 - 4.5% SW TDT'!$B$12</f>
        <v>125249.93</v>
      </c>
      <c r="O74" s="122">
        <f>'FY2010-2014 - 4.5% SW TDT'!$B$29</f>
        <v>153619.24</v>
      </c>
      <c r="P74" s="122">
        <f>'FY2010-2014 - 4.5% SW TDT'!$B$46</f>
        <v>175330.05</v>
      </c>
      <c r="Q74" s="122">
        <f>'FY2010-2014 - 4.5% SW TDT'!$B$63</f>
        <v>207359.09</v>
      </c>
      <c r="R74" s="122">
        <f>'FY2010-2014 - 4.5% SW TDT'!$B$80</f>
        <v>218643.85</v>
      </c>
      <c r="S74" s="101">
        <f>'FY2015-2019 - 4% SW TDT'!$B$12</f>
        <v>236504.66</v>
      </c>
      <c r="T74" s="101">
        <f>'FY2015-2019 - 4% SW TDT'!$B$28</f>
        <v>266680.05</v>
      </c>
      <c r="U74" s="101">
        <f>'FY2015-2019 - 4% SW TDT'!$B$44</f>
        <v>280692.63</v>
      </c>
      <c r="V74" s="101">
        <f>'FY2015-2019 - 4% SW TDT'!$B$60</f>
        <v>325764.93</v>
      </c>
      <c r="W74" s="101">
        <f>'FY2015-2019 - 4% SW TDT'!$B$76</f>
        <v>336159.48</v>
      </c>
      <c r="X74" s="101">
        <f>'FY2020-Present - 5% SW TDT'!$B$12</f>
        <v>357799.22</v>
      </c>
      <c r="Y74" s="101">
        <f>'FY2020-Present - 5% SW TDT'!$B$28</f>
        <v>577172.19999999995</v>
      </c>
      <c r="Z74" s="101">
        <f>'FY2020-Present - 5% SW TDT'!$B$44</f>
        <v>667494.94999999995</v>
      </c>
      <c r="AA74" s="101">
        <f>'FY2020-Present - 5% SW TDT'!$B$60</f>
        <v>596201.79</v>
      </c>
      <c r="AB74" s="101">
        <f>'FY2020-Present - 5% SW TDT'!B76</f>
        <v>651442.53</v>
      </c>
      <c r="AC74" s="101">
        <f>'FY2020-Present - 5% SW TDT'!B92</f>
        <v>659347.54800000007</v>
      </c>
      <c r="AD74" s="101">
        <f>'FY2020-Present - 5% SW TDT'!B108</f>
        <v>575757.70799999998</v>
      </c>
    </row>
    <row r="75" spans="2:30" x14ac:dyDescent="0.3">
      <c r="B75" s="102" t="s">
        <v>3</v>
      </c>
      <c r="C75" s="122">
        <f>'FY1999-2003 - 3% SW TDT'!$B$13</f>
        <v>66801.100000000006</v>
      </c>
      <c r="D75" s="122">
        <f>'FY1999-2003 - 3% SW TDT'!$B$36</f>
        <v>78715.839999999997</v>
      </c>
      <c r="E75" s="122">
        <f>'FY1999-2003 - 3% SW TDT'!$B$60</f>
        <v>81933.36</v>
      </c>
      <c r="F75" s="122">
        <f>'FY1999-2003 - 3% SW TDT'!$B$82</f>
        <v>80263.34</v>
      </c>
      <c r="G75" s="122">
        <f>'FY1999-2003 - 3% SW TDT'!$B$106</f>
        <v>80944.05</v>
      </c>
      <c r="H75" s="122">
        <f>'FY2004-2009 - 4% SW TDT'!$B$15</f>
        <v>107240.52</v>
      </c>
      <c r="I75" s="122">
        <f>'FY2004-2009 - 4% SW TDT'!$B$38</f>
        <v>122624.84</v>
      </c>
      <c r="J75" s="122">
        <f>'FY2004-2009 - 4% SW TDT'!$B$61</f>
        <v>129271.02</v>
      </c>
      <c r="K75" s="122">
        <f>'FY2004-2009 - 4% SW TDT'!$B$84</f>
        <v>122021.32</v>
      </c>
      <c r="L75" s="122">
        <f>'FY2004-2009 - 4% SW TDT'!$B$109</f>
        <v>119043.18</v>
      </c>
      <c r="M75" s="122">
        <f>'FY2004-2009 - 4% SW TDT'!$B$132</f>
        <v>125905.99</v>
      </c>
      <c r="N75" s="122">
        <f>'FY2010-2014 - 4.5% SW TDT'!$B$13</f>
        <v>129158.87</v>
      </c>
      <c r="O75" s="122">
        <f>'FY2010-2014 - 4.5% SW TDT'!$B$30</f>
        <v>130994.07</v>
      </c>
      <c r="P75" s="122">
        <f>'FY2010-2014 - 4.5% SW TDT'!$B$47</f>
        <v>147502.22</v>
      </c>
      <c r="Q75" s="122">
        <f>'FY2010-2014 - 4.5% SW TDT'!$B$64</f>
        <v>156222.46</v>
      </c>
      <c r="R75" s="122">
        <f>'FY2010-2014 - 4.5% SW TDT'!$B$81</f>
        <v>162928.44</v>
      </c>
      <c r="S75" s="101">
        <f>'FY2015-2019 - 4% SW TDT'!$B$13</f>
        <v>212247.87</v>
      </c>
      <c r="T75" s="101">
        <f>'FY2015-2019 - 4% SW TDT'!$B$29</f>
        <v>219771.69</v>
      </c>
      <c r="U75" s="101">
        <f>'FY2015-2019 - 4% SW TDT'!$B$45</f>
        <v>228864.33</v>
      </c>
      <c r="V75" s="101">
        <f>'FY2015-2019 - 4% SW TDT'!$B$61</f>
        <v>250666.13</v>
      </c>
      <c r="W75" s="101">
        <f>'FY2015-2019 - 4% SW TDT'!$B$77</f>
        <v>307487.96999999997</v>
      </c>
      <c r="X75" s="101">
        <f>'FY2020-Present - 5% SW TDT'!$B$13</f>
        <v>328471.15999999997</v>
      </c>
      <c r="Y75" s="101">
        <f>'FY2020-Present - 5% SW TDT'!$B$29</f>
        <v>448827.43</v>
      </c>
      <c r="Z75" s="101">
        <f>'FY2020-Present - 5% SW TDT'!$B$45</f>
        <v>565716.66</v>
      </c>
      <c r="AA75" s="101">
        <f>'FY2020-Present - 5% SW TDT'!$B$61</f>
        <v>512267.05</v>
      </c>
      <c r="AB75" s="101">
        <f>'FY2020-Present - 5% SW TDT'!B77</f>
        <v>549744.56400000001</v>
      </c>
      <c r="AC75" s="101">
        <f>'FY2020-Present - 5% SW TDT'!B93</f>
        <v>491268.92000000016</v>
      </c>
      <c r="AD75" s="101">
        <f>'FY2020-Present - 5% SW TDT'!B109</f>
        <v>529348.24400000006</v>
      </c>
    </row>
    <row r="76" spans="2:30" x14ac:dyDescent="0.3">
      <c r="B76" s="102" t="s">
        <v>4</v>
      </c>
      <c r="C76" s="122">
        <f>'FY1999-2003 - 3% SW TDT'!$B$14</f>
        <v>89815.55</v>
      </c>
      <c r="D76" s="122">
        <f>'FY1999-2003 - 3% SW TDT'!$B$37</f>
        <v>100603.07</v>
      </c>
      <c r="E76" s="122">
        <f>'FY1999-2003 - 3% SW TDT'!$B$61</f>
        <v>117128.35</v>
      </c>
      <c r="F76" s="122">
        <f>'FY1999-2003 - 3% SW TDT'!$B$83</f>
        <v>119727</v>
      </c>
      <c r="G76" s="122">
        <f>'FY1999-2003 - 3% SW TDT'!$B$107</f>
        <v>128733.08</v>
      </c>
      <c r="H76" s="122">
        <f>'FY2004-2009 - 4% SW TDT'!$B$16</f>
        <v>130704.27</v>
      </c>
      <c r="I76" s="122">
        <f>'FY2004-2009 - 4% SW TDT'!$B$39</f>
        <v>160452.60999999999</v>
      </c>
      <c r="J76" s="122">
        <f>'FY2004-2009 - 4% SW TDT'!$B$62</f>
        <v>158672.32999999999</v>
      </c>
      <c r="K76" s="122">
        <f>'FY2004-2009 - 4% SW TDT'!$B$85</f>
        <v>161981.91</v>
      </c>
      <c r="L76" s="122">
        <f>'FY2004-2009 - 4% SW TDT'!$B$110</f>
        <v>204480.71</v>
      </c>
      <c r="M76" s="122">
        <f>'FY2004-2009 - 4% SW TDT'!$B$133</f>
        <v>189724.55</v>
      </c>
      <c r="N76" s="122">
        <f>'FY2010-2014 - 4.5% SW TDT'!$B$14</f>
        <v>175109.02</v>
      </c>
      <c r="O76" s="122">
        <f>'FY2010-2014 - 4.5% SW TDT'!$B$31</f>
        <v>160421.72</v>
      </c>
      <c r="P76" s="122">
        <f>'FY2010-2014 - 4.5% SW TDT'!$B$48</f>
        <v>197477.61</v>
      </c>
      <c r="Q76" s="122">
        <f>'FY2010-2014 - 4.5% SW TDT'!$B$65</f>
        <v>202358.72</v>
      </c>
      <c r="R76" s="122">
        <f>'FY2010-2014 - 4.5% SW TDT'!$B$82</f>
        <v>208017.18</v>
      </c>
      <c r="S76" s="101">
        <f>'FY2015-2019 - 4% SW TDT'!$B$14</f>
        <v>251463</v>
      </c>
      <c r="T76" s="101">
        <f>'FY2015-2019 - 4% SW TDT'!$B$30</f>
        <v>271236.27</v>
      </c>
      <c r="U76" s="101">
        <f>'FY2015-2019 - 4% SW TDT'!$B$46</f>
        <v>287857.63</v>
      </c>
      <c r="V76" s="101">
        <f>'FY2015-2019 - 4% SW TDT'!$B$62</f>
        <v>312975.59000000003</v>
      </c>
      <c r="W76" s="101">
        <f>'FY2015-2019 - 4% SW TDT'!$B$78</f>
        <v>354534.87</v>
      </c>
      <c r="X76" s="101">
        <f>'FY2020-Present - 5% SW TDT'!$B$14</f>
        <v>365559.62</v>
      </c>
      <c r="Y76" s="101">
        <f>'FY2020-Present - 5% SW TDT'!$B$30</f>
        <v>487921.36</v>
      </c>
      <c r="Z76" s="101">
        <f>'FY2020-Present - 5% SW TDT'!$B$46</f>
        <v>629915.98</v>
      </c>
      <c r="AA76" s="101">
        <f>'FY2020-Present - 5% SW TDT'!$B$62</f>
        <v>639643</v>
      </c>
      <c r="AB76" s="101">
        <f>'FY2020-Present - 5% SW TDT'!B78</f>
        <v>597824.02</v>
      </c>
      <c r="AC76" s="101">
        <f>'FY2020-Present - 5% SW TDT'!B94</f>
        <v>539299.78</v>
      </c>
      <c r="AD76" s="101">
        <f>'FY2020-Present - 5% SW TDT'!B110</f>
        <v>0</v>
      </c>
    </row>
    <row r="77" spans="2:30" x14ac:dyDescent="0.3">
      <c r="B77" s="102" t="s">
        <v>5</v>
      </c>
      <c r="C77" s="122">
        <f>'FY1999-2003 - 3% SW TDT'!$B$15</f>
        <v>156562.48000000001</v>
      </c>
      <c r="D77" s="122">
        <f>'FY1999-2003 - 3% SW TDT'!$B$38</f>
        <v>219513.65</v>
      </c>
      <c r="E77" s="122">
        <f>'FY1999-2003 - 3% SW TDT'!$B$62</f>
        <v>242526.35</v>
      </c>
      <c r="F77" s="122">
        <f>'FY1999-2003 - 3% SW TDT'!$B$84</f>
        <v>288984.89</v>
      </c>
      <c r="G77" s="122">
        <f>'FY1999-2003 - 3% SW TDT'!$B$108</f>
        <v>268939.34999999998</v>
      </c>
      <c r="H77" s="122">
        <f>'FY2004-2009 - 4% SW TDT'!$B$17</f>
        <v>308135.05</v>
      </c>
      <c r="I77" s="122">
        <f>'FY2004-2009 - 4% SW TDT'!$B$40</f>
        <v>406773.54</v>
      </c>
      <c r="J77" s="122">
        <f>'FY2004-2009 - 4% SW TDT'!$B$63</f>
        <v>360623.77</v>
      </c>
      <c r="K77" s="122">
        <f>'FY2004-2009 - 4% SW TDT'!$B$86</f>
        <v>435558.96</v>
      </c>
      <c r="L77" s="122">
        <f>'FY2004-2009 - 4% SW TDT'!$B$111</f>
        <v>501035.98</v>
      </c>
      <c r="M77" s="122">
        <f>'FY2004-2009 - 4% SW TDT'!$B$134</f>
        <v>392886.89</v>
      </c>
      <c r="N77" s="122">
        <f>'FY2010-2014 - 4.5% SW TDT'!$B$15</f>
        <v>414775.92</v>
      </c>
      <c r="O77" s="122">
        <f>'FY2010-2014 - 4.5% SW TDT'!$B$32</f>
        <v>494469.04</v>
      </c>
      <c r="P77" s="122">
        <f>'FY2010-2014 - 4.5% SW TDT'!$B$49</f>
        <v>660254.23</v>
      </c>
      <c r="Q77" s="122">
        <f>'FY2010-2014 - 4.5% SW TDT'!$B$66</f>
        <v>874531.17</v>
      </c>
      <c r="R77" s="122">
        <f>'FY2010-2014 - 4.5% SW TDT'!$B$83</f>
        <v>757760.33</v>
      </c>
      <c r="S77" s="101">
        <f>'FY2015-2019 - 4% SW TDT'!$B$15</f>
        <v>745287.88</v>
      </c>
      <c r="T77" s="101">
        <f>'FY2015-2019 - 4% SW TDT'!$B$31</f>
        <v>886194.76</v>
      </c>
      <c r="U77" s="101">
        <f>'FY2015-2019 - 4% SW TDT'!$B$47</f>
        <v>906563.68</v>
      </c>
      <c r="V77" s="101">
        <f>'FY2015-2019 - 4% SW TDT'!$B$63</f>
        <v>1130785.1599999999</v>
      </c>
      <c r="W77" s="101">
        <f>'FY2015-2019 - 4% SW TDT'!$B$79</f>
        <v>1157967.8500000001</v>
      </c>
      <c r="X77" s="101">
        <f>'FY2020-Present - 5% SW TDT'!$B$15</f>
        <v>677696.57</v>
      </c>
      <c r="Y77" s="101">
        <f>'FY2020-Present - 5% SW TDT'!$B$31</f>
        <v>1873590.35</v>
      </c>
      <c r="Z77" s="101">
        <f>'FY2020-Present - 5% SW TDT'!$B$47</f>
        <v>2075862.8640000001</v>
      </c>
      <c r="AA77" s="101">
        <f>'FY2020-Present - 5% SW TDT'!$B$63</f>
        <v>1957997.59</v>
      </c>
      <c r="AB77" s="101">
        <f>'FY2020-Present - 5% SW TDT'!B79</f>
        <v>2254454.14</v>
      </c>
      <c r="AC77" s="101">
        <f>'FY2020-Present - 5% SW TDT'!B95</f>
        <v>2008467.2600000002</v>
      </c>
      <c r="AD77" s="101">
        <f>'FY2020-Present - 5% SW TDT'!B111</f>
        <v>0</v>
      </c>
    </row>
    <row r="78" spans="2:30" x14ac:dyDescent="0.3">
      <c r="B78" s="102" t="s">
        <v>6</v>
      </c>
      <c r="C78" s="122">
        <f>'FY1999-2003 - 3% SW TDT'!$B$16</f>
        <v>243332.92</v>
      </c>
      <c r="D78" s="122">
        <f>'FY1999-2003 - 3% SW TDT'!$B$39</f>
        <v>283424.76</v>
      </c>
      <c r="E78" s="122">
        <f>'FY1999-2003 - 3% SW TDT'!$B$63</f>
        <v>301030.15000000002</v>
      </c>
      <c r="F78" s="122">
        <f>'FY1999-2003 - 3% SW TDT'!$B$85</f>
        <v>298440.51</v>
      </c>
      <c r="G78" s="122">
        <f>'FY1999-2003 - 3% SW TDT'!$B$109</f>
        <v>380718.45</v>
      </c>
      <c r="H78" s="122">
        <f>'FY2004-2009 - 4% SW TDT'!$B$18</f>
        <v>412264.94</v>
      </c>
      <c r="I78" s="122">
        <f>'FY2004-2009 - 4% SW TDT'!$B$41</f>
        <v>377555.79</v>
      </c>
      <c r="J78" s="122">
        <f>'FY2004-2009 - 4% SW TDT'!$B$64</f>
        <v>435889.02</v>
      </c>
      <c r="K78" s="122">
        <f>'FY2004-2009 - 4% SW TDT'!$B$87</f>
        <v>479161.53</v>
      </c>
      <c r="L78" s="122">
        <f>'FY2004-2009 - 4% SW TDT'!$B$112</f>
        <v>399592.28</v>
      </c>
      <c r="M78" s="122">
        <f>'FY2004-2009 - 4% SW TDT'!$B$135</f>
        <v>412012.72</v>
      </c>
      <c r="N78" s="122">
        <f>'FY2010-2014 - 4.5% SW TDT'!$B$16</f>
        <v>418209.65</v>
      </c>
      <c r="O78" s="122">
        <f>'FY2010-2014 - 4.5% SW TDT'!$B$33</f>
        <v>497037.88</v>
      </c>
      <c r="P78" s="122">
        <f>'FY2010-2014 - 4.5% SW TDT'!$B$50</f>
        <v>582438.92000000004</v>
      </c>
      <c r="Q78" s="122">
        <f>'FY2010-2014 - 4.5% SW TDT'!$B$67</f>
        <v>532648.93000000005</v>
      </c>
      <c r="R78" s="122">
        <f>'FY2010-2014 - 4.5% SW TDT'!$B$84</f>
        <v>642133.82999999996</v>
      </c>
      <c r="S78" s="101">
        <f>'FY2015-2019 - 4% SW TDT'!$B$16</f>
        <v>756598.59</v>
      </c>
      <c r="T78" s="101">
        <f>'FY2015-2019 - 4% SW TDT'!$B$32</f>
        <v>803299.03</v>
      </c>
      <c r="U78" s="101">
        <f>'FY2015-2019 - 4% SW TDT'!$B$48</f>
        <v>979209.5</v>
      </c>
      <c r="V78" s="101">
        <f>'FY2015-2019 - 4% SW TDT'!$B$64</f>
        <v>872808.85</v>
      </c>
      <c r="W78" s="101">
        <f>'FY2015-2019 - 4% SW TDT'!$B$80</f>
        <v>1028612.66</v>
      </c>
      <c r="X78" s="101">
        <f>'FY2020-Present - 5% SW TDT'!$B$16</f>
        <v>151905.13</v>
      </c>
      <c r="Y78" s="101">
        <f>'FY2020-Present - 5% SW TDT'!$B$32</f>
        <v>1973219.38</v>
      </c>
      <c r="Z78" s="101">
        <f>'FY2020-Present - 5% SW TDT'!$B$48</f>
        <v>2263028.44</v>
      </c>
      <c r="AA78" s="101">
        <f>'FY2020-Present - 5% SW TDT'!$B$64</f>
        <v>2235643.66</v>
      </c>
      <c r="AB78" s="101">
        <f>'FY2020-Present - 5% SW TDT'!B80</f>
        <v>1832670.37</v>
      </c>
      <c r="AC78" s="101">
        <f>'FY2020-Present - 5% SW TDT'!B96</f>
        <v>2035100.62</v>
      </c>
      <c r="AD78" s="101">
        <f>'FY2020-Present - 5% SW TDT'!B112</f>
        <v>0</v>
      </c>
    </row>
    <row r="79" spans="2:30" x14ac:dyDescent="0.3">
      <c r="B79" s="102" t="s">
        <v>7</v>
      </c>
      <c r="C79" s="122">
        <f>'FY1999-2003 - 3% SW TDT'!$B$17</f>
        <v>253433.88</v>
      </c>
      <c r="D79" s="122">
        <f>'FY1999-2003 - 3% SW TDT'!$B$40</f>
        <v>291612.75</v>
      </c>
      <c r="E79" s="122">
        <f>'FY1999-2003 - 3% SW TDT'!$B$64</f>
        <v>307258.18</v>
      </c>
      <c r="F79" s="122">
        <f>'FY1999-2003 - 3% SW TDT'!$B$86</f>
        <v>334595.87</v>
      </c>
      <c r="G79" s="122">
        <f>'FY1999-2003 - 3% SW TDT'!$B$110</f>
        <v>389167.93</v>
      </c>
      <c r="H79" s="122">
        <f>'FY2004-2009 - 4% SW TDT'!$B$19</f>
        <v>408870.41</v>
      </c>
      <c r="I79" s="122">
        <f>'FY2004-2009 - 4% SW TDT'!$B$42</f>
        <v>469120.82</v>
      </c>
      <c r="J79" s="122">
        <f>'FY2004-2009 - 4% SW TDT'!$B$65</f>
        <v>484256.25</v>
      </c>
      <c r="K79" s="122">
        <f>'FY2004-2009 - 4% SW TDT'!$B$88</f>
        <v>494415.24</v>
      </c>
      <c r="L79" s="122">
        <f>'FY2004-2009 - 4% SW TDT'!$B$113</f>
        <v>599677.25</v>
      </c>
      <c r="M79" s="122">
        <f>'FY2004-2009 - 4% SW TDT'!$B$136</f>
        <v>478653.42</v>
      </c>
      <c r="N79" s="122">
        <f>'FY2010-2014 - 4.5% SW TDT'!$B$17</f>
        <v>497027.58</v>
      </c>
      <c r="O79" s="122">
        <f>'FY2010-2014 - 4.5% SW TDT'!$B$34</f>
        <v>572235.47</v>
      </c>
      <c r="P79" s="122">
        <f>'FY2010-2014 - 4.5% SW TDT'!$B$51</f>
        <v>690820.69</v>
      </c>
      <c r="Q79" s="122">
        <f>'FY2010-2014 - 4.5% SW TDT'!$B$68</f>
        <v>758691.24</v>
      </c>
      <c r="R79" s="122">
        <f>'FY2010-2014 - 4.5% SW TDT'!$B$85</f>
        <v>879161.07</v>
      </c>
      <c r="S79" s="101">
        <f>'FY2015-2019 - 4% SW TDT'!$B$17</f>
        <v>1006647.78</v>
      </c>
      <c r="T79" s="101">
        <f>'FY2015-2019 - 4% SW TDT'!$B$33</f>
        <v>1035563.05</v>
      </c>
      <c r="U79" s="101">
        <f>'FY2015-2019 - 4% SW TDT'!$B$49</f>
        <v>1108886.1100000001</v>
      </c>
      <c r="V79" s="101">
        <f>'FY2015-2019 - 4% SW TDT'!$B$65</f>
        <v>1139846.98</v>
      </c>
      <c r="W79" s="101">
        <f>'FY2015-2019 - 4% SW TDT'!$B$81</f>
        <v>1371010.18</v>
      </c>
      <c r="X79" s="101">
        <f>'FY2020-Present - 5% SW TDT'!$B$17</f>
        <v>653886.94999999995</v>
      </c>
      <c r="Y79" s="101">
        <f>'FY2020-Present - 5% SW TDT'!$B$33</f>
        <v>2487791.27</v>
      </c>
      <c r="Z79" s="101">
        <f>'FY2020-Present - 5% SW TDT'!$B$49</f>
        <v>2411529.1800000002</v>
      </c>
      <c r="AA79" s="101">
        <f>'FY2020-Present - 5% SW TDT'!$B$65</f>
        <v>2333705.41</v>
      </c>
      <c r="AB79" s="101">
        <f>'FY2020-Present - 5% SW TDT'!B81</f>
        <v>2593171.92</v>
      </c>
      <c r="AC79" s="101">
        <f>'FY2020-Present - 5% SW TDT'!B97</f>
        <v>2876430.1239999998</v>
      </c>
      <c r="AD79" s="101">
        <f>'FY2020-Present - 5% SW TDT'!B113</f>
        <v>0</v>
      </c>
    </row>
    <row r="80" spans="2:30" x14ac:dyDescent="0.3">
      <c r="B80" s="102" t="s">
        <v>8</v>
      </c>
      <c r="C80" s="122">
        <f>'FY1999-2003 - 3% SW TDT'!$B$18</f>
        <v>464932.95</v>
      </c>
      <c r="D80" s="122">
        <f>'FY1999-2003 - 3% SW TDT'!$B$41</f>
        <v>570409.11</v>
      </c>
      <c r="E80" s="122">
        <f>'FY1999-2003 - 3% SW TDT'!$B$65</f>
        <v>603595.80000000005</v>
      </c>
      <c r="F80" s="122">
        <f>'FY1999-2003 - 3% SW TDT'!$B$87</f>
        <v>647850.04</v>
      </c>
      <c r="G80" s="122">
        <f>'FY1999-2003 - 3% SW TDT'!$B$111</f>
        <v>743435.31</v>
      </c>
      <c r="H80" s="122">
        <f>'FY2004-2009 - 4% SW TDT'!$B$20</f>
        <v>830736.39</v>
      </c>
      <c r="I80" s="122">
        <f>'FY2004-2009 - 4% SW TDT'!$B$43</f>
        <v>952870.54</v>
      </c>
      <c r="J80" s="122">
        <f>'FY2004-2009 - 4% SW TDT'!$B$66</f>
        <v>976493.95</v>
      </c>
      <c r="K80" s="122">
        <f>'FY2004-2009 - 4% SW TDT'!$B$89</f>
        <v>1174617.32</v>
      </c>
      <c r="L80" s="122">
        <f>'FY2004-2009 - 4% SW TDT'!$B$114</f>
        <v>1154380.99</v>
      </c>
      <c r="M80" s="122">
        <f>'FY2004-2009 - 4% SW TDT'!$B$137</f>
        <v>1109430.21</v>
      </c>
      <c r="N80" s="122">
        <f>'FY2010-2014 - 4.5% SW TDT'!$B$18</f>
        <v>1032073.34</v>
      </c>
      <c r="O80" s="122">
        <f>'FY2010-2014 - 4.5% SW TDT'!$B$35</f>
        <v>1288285.06</v>
      </c>
      <c r="P80" s="122">
        <f>'FY2010-2014 - 4.5% SW TDT'!$B$52</f>
        <v>1600018.1</v>
      </c>
      <c r="Q80" s="122">
        <f>'FY2010-2014 - 4.5% SW TDT'!$B$69</f>
        <v>1746488.92</v>
      </c>
      <c r="R80" s="122">
        <f>'FY2010-2014 - 4.5% SW TDT'!$B$86</f>
        <v>1836980.982222222</v>
      </c>
      <c r="S80" s="101">
        <f>'FY2015-2019 - 4% SW TDT'!$B$18</f>
        <v>1838240.71</v>
      </c>
      <c r="T80" s="101">
        <f>'FY2015-2019 - 4% SW TDT'!$B$34</f>
        <v>2087895.3</v>
      </c>
      <c r="U80" s="101">
        <f>'FY2015-2019 - 4% SW TDT'!$B$50</f>
        <v>2302044.1800000002</v>
      </c>
      <c r="V80" s="101">
        <f>'FY2015-2019 - 4% SW TDT'!$B$66</f>
        <v>2710621.08</v>
      </c>
      <c r="W80" s="101">
        <f>'FY2015-2019 - 4% SW TDT'!$B$82</f>
        <v>2791990.9</v>
      </c>
      <c r="X80" s="101">
        <f>'FY2020-Present - 5% SW TDT'!$B$18</f>
        <v>2625812.71</v>
      </c>
      <c r="Y80" s="101">
        <f>'FY2020-Present - 5% SW TDT'!$B$34</f>
        <v>3868458.9619999998</v>
      </c>
      <c r="Z80" s="101">
        <f>'FY2020-Present - 5% SW TDT'!$B$50</f>
        <v>4509916.95</v>
      </c>
      <c r="AA80" s="101">
        <f>'FY2020-Present - 5% SW TDT'!$B$66</f>
        <v>4473411.5</v>
      </c>
      <c r="AB80" s="101">
        <f>'FY2020-Present - 5% SW TDT'!B82</f>
        <v>4761009.47</v>
      </c>
      <c r="AC80" s="101">
        <f>'FY2020-Present - 5% SW TDT'!B98</f>
        <v>4451125.2</v>
      </c>
      <c r="AD80" s="101">
        <f>'FY2020-Present - 5% SW TDT'!B114</f>
        <v>0</v>
      </c>
    </row>
    <row r="81" spans="2:30" x14ac:dyDescent="0.3">
      <c r="B81" s="102" t="s">
        <v>9</v>
      </c>
      <c r="C81" s="122">
        <f>'FY1999-2003 - 3% SW TDT'!$B$19</f>
        <v>576667.42000000004</v>
      </c>
      <c r="D81" s="122">
        <f>'FY1999-2003 - 3% SW TDT'!$B$42</f>
        <v>643327.27</v>
      </c>
      <c r="E81" s="122">
        <f>'FY1999-2003 - 3% SW TDT'!$B$66</f>
        <v>662185.85</v>
      </c>
      <c r="F81" s="122">
        <f>'FY1999-2003 - 3% SW TDT'!$B$88</f>
        <v>730547.74</v>
      </c>
      <c r="G81" s="122">
        <f>'FY1999-2003 - 3% SW TDT'!$B$112</f>
        <v>761058.7</v>
      </c>
      <c r="H81" s="122">
        <f>'FY2004-2009 - 4% SW TDT'!$B$21</f>
        <v>914381.2</v>
      </c>
      <c r="I81" s="122">
        <f>'FY2004-2009 - 4% SW TDT'!$B$44</f>
        <v>737041.4</v>
      </c>
      <c r="J81" s="122">
        <f>'FY2004-2009 - 4% SW TDT'!$B$67</f>
        <v>953458.99</v>
      </c>
      <c r="K81" s="122">
        <f>'FY2004-2009 - 4% SW TDT'!$B$90</f>
        <v>1054400</v>
      </c>
      <c r="L81" s="122">
        <f>'FY2004-2009 - 4% SW TDT'!$B$115</f>
        <v>1134983.3</v>
      </c>
      <c r="M81" s="122">
        <f>'FY2004-2009 - 4% SW TDT'!$B$138</f>
        <v>1084634.0900000001</v>
      </c>
      <c r="N81" s="122">
        <f>'FY2010-2014 - 4.5% SW TDT'!$B$19</f>
        <v>866475.23</v>
      </c>
      <c r="O81" s="122">
        <f>'FY2010-2014 - 4.5% SW TDT'!$B$36</f>
        <v>1328933.19</v>
      </c>
      <c r="P81" s="122">
        <f>'FY2010-2014 - 4.5% SW TDT'!$B$53</f>
        <v>1420957.65</v>
      </c>
      <c r="Q81" s="122">
        <f>'FY2010-2014 - 4.5% SW TDT'!$B$70</f>
        <v>1559426.87</v>
      </c>
      <c r="R81" s="122">
        <f>'FY2010-2014 - 4.5% SW TDT'!$B$87</f>
        <v>1801878.89</v>
      </c>
      <c r="S81" s="101">
        <f>'FY2015-2019 - 4% SW TDT'!$B$19</f>
        <v>2197315.63</v>
      </c>
      <c r="T81" s="101">
        <f>'FY2015-2019 - 4% SW TDT'!$B$35</f>
        <v>2462734.59</v>
      </c>
      <c r="U81" s="101">
        <f>'FY2015-2019 - 4% SW TDT'!$B$51</f>
        <v>2564578.59</v>
      </c>
      <c r="V81" s="101">
        <f>'FY2015-2019 - 4% SW TDT'!$B$67</f>
        <v>2668633.2000000002</v>
      </c>
      <c r="W81" s="101">
        <f>'FY2015-2019 - 4% SW TDT'!$B$83</f>
        <v>2727529.08</v>
      </c>
      <c r="X81" s="101">
        <f>'FY2020-Present - 5% SW TDT'!$B$19</f>
        <v>2823106.8</v>
      </c>
      <c r="Y81" s="101">
        <f>'FY2020-Present - 5% SW TDT'!$B$35</f>
        <v>4543680.8479999993</v>
      </c>
      <c r="Z81" s="101">
        <f>'FY2020-Present - 5% SW TDT'!$B$51</f>
        <v>5289249.46</v>
      </c>
      <c r="AA81" s="101">
        <f>'FY2020-Present - 5% SW TDT'!$B$67</f>
        <v>4851415.1100000003</v>
      </c>
      <c r="AB81" s="101">
        <f>'FY2020-Present - 5% SW TDT'!B83</f>
        <v>4594612.99</v>
      </c>
      <c r="AC81" s="101">
        <f>'FY2020-Present - 5% SW TDT'!B99</f>
        <v>4841978.4160000002</v>
      </c>
      <c r="AD81" s="101">
        <f>'FY2020-Present - 5% SW TDT'!B115</f>
        <v>0</v>
      </c>
    </row>
    <row r="82" spans="2:30" x14ac:dyDescent="0.3">
      <c r="B82" s="102" t="s">
        <v>10</v>
      </c>
      <c r="C82" s="122">
        <f>'FY1999-2003 - 3% SW TDT'!$B$20</f>
        <v>376101.85</v>
      </c>
      <c r="D82" s="122">
        <f>'FY1999-2003 - 3% SW TDT'!$B$43</f>
        <v>360988.73</v>
      </c>
      <c r="E82" s="122">
        <f>'FY1999-2003 - 3% SW TDT'!$B$67</f>
        <v>355645.3</v>
      </c>
      <c r="F82" s="122">
        <f>'FY1999-2003 - 3% SW TDT'!$B$89</f>
        <v>428562.62</v>
      </c>
      <c r="G82" s="122">
        <f>'FY1999-2003 - 3% SW TDT'!$B$113</f>
        <v>485713.24</v>
      </c>
      <c r="H82" s="122">
        <f>'FY2004-2009 - 4% SW TDT'!$B$22</f>
        <v>465572.48</v>
      </c>
      <c r="I82" s="122">
        <f>'FY2004-2009 - 4% SW TDT'!$B$45</f>
        <v>448491.93</v>
      </c>
      <c r="J82" s="122">
        <f>'FY2004-2009 - 4% SW TDT'!$B$68</f>
        <v>483301.7</v>
      </c>
      <c r="K82" s="122">
        <f>'FY2004-2009 - 4% SW TDT'!$B$91</f>
        <v>555853.63</v>
      </c>
      <c r="L82" s="122">
        <f>'FY2004-2009 - 4% SW TDT'!$B$116</f>
        <v>581851.53</v>
      </c>
      <c r="M82" s="122">
        <f>'FY2004-2009 - 4% SW TDT'!$B$139</f>
        <v>541151.26</v>
      </c>
      <c r="N82" s="122">
        <f>'FY2010-2014 - 4.5% SW TDT'!$B$20</f>
        <v>386813.73</v>
      </c>
      <c r="O82" s="122">
        <f>'FY2010-2014 - 4.5% SW TDT'!$B$37</f>
        <v>633917.9</v>
      </c>
      <c r="P82" s="122">
        <f>'FY2010-2014 - 4.5% SW TDT'!$B$54</f>
        <v>714320.8</v>
      </c>
      <c r="Q82" s="122">
        <f>'FY2010-2014 - 4.5% SW TDT'!$B$71</f>
        <v>909393.51</v>
      </c>
      <c r="R82" s="122">
        <f>'FY2010-2014 - 4.5% SW TDT'!$B$88</f>
        <v>1033577.98</v>
      </c>
      <c r="S82" s="101">
        <f>'FY2015-2019 - 4% SW TDT'!$B$20</f>
        <v>1124446.54</v>
      </c>
      <c r="T82" s="101">
        <f>'FY2015-2019 - 4% SW TDT'!$B$36</f>
        <v>1052389.99</v>
      </c>
      <c r="U82" s="101">
        <f>'FY2015-2019 - 4% SW TDT'!$B$52</f>
        <v>1114086.49</v>
      </c>
      <c r="V82" s="101">
        <f>'FY2015-2019 - 4% SW TDT'!$B$68</f>
        <v>1328333.82</v>
      </c>
      <c r="W82" s="101">
        <f>'FY2015-2019 - 4% SW TDT'!$B$84</f>
        <v>1463761.46</v>
      </c>
      <c r="X82" s="101">
        <f>'FY2020-Present - 5% SW TDT'!$B$20</f>
        <v>2205495.38</v>
      </c>
      <c r="Y82" s="101">
        <f>'FY2020-Present - 5% SW TDT'!$B$36</f>
        <v>2961120.3</v>
      </c>
      <c r="Z82" s="101">
        <f>'FY2020-Present - 5% SW TDT'!$B$52</f>
        <v>2331924.63</v>
      </c>
      <c r="AA82" s="101">
        <f>'FY2020-Present - 5% SW TDT'!$B$68</f>
        <v>2176669.61</v>
      </c>
      <c r="AB82" s="101">
        <f>'FY2020-Present - 5% SW TDT'!B84</f>
        <v>2271316.09</v>
      </c>
      <c r="AC82" s="101">
        <f>'FY2020-Present - 5% SW TDT'!B100</f>
        <v>2499242.1320000002</v>
      </c>
      <c r="AD82" s="101">
        <f>'FY2020-Present - 5% SW TDT'!B116</f>
        <v>0</v>
      </c>
    </row>
    <row r="83" spans="2:30" x14ac:dyDescent="0.3">
      <c r="B83" s="102" t="s">
        <v>11</v>
      </c>
      <c r="C83" s="122">
        <f>'FY1999-2003 - 3% SW TDT'!$B$21</f>
        <v>198592.3</v>
      </c>
      <c r="D83" s="122">
        <f>'FY1999-2003 - 3% SW TDT'!$B$44</f>
        <v>201871.31</v>
      </c>
      <c r="E83" s="122">
        <f>'FY1999-2003 - 3% SW TDT'!$B$68</f>
        <v>202445.89</v>
      </c>
      <c r="F83" s="122">
        <f>'FY1999-2003 - 3% SW TDT'!$B$90</f>
        <v>254948.81</v>
      </c>
      <c r="G83" s="122">
        <f>'FY1999-2003 - 3% SW TDT'!$B$114</f>
        <v>288149.5</v>
      </c>
      <c r="H83" s="122">
        <f>'FY2004-2009 - 4% SW TDT'!$B$23</f>
        <v>220779.9</v>
      </c>
      <c r="I83" s="122">
        <f>'FY2004-2009 - 4% SW TDT'!$B$46</f>
        <v>269620.51</v>
      </c>
      <c r="J83" s="122">
        <f>'FY2004-2009 - 4% SW TDT'!$B$69</f>
        <v>345926.61</v>
      </c>
      <c r="K83" s="122">
        <f>'FY2004-2009 - 4% SW TDT'!$B$92</f>
        <v>382728.64</v>
      </c>
      <c r="L83" s="122">
        <f>'FY2004-2009 - 4% SW TDT'!$B$117</f>
        <v>394043</v>
      </c>
      <c r="M83" s="122">
        <f>'FY2004-2009 - 4% SW TDT'!$B$140</f>
        <v>421709.36</v>
      </c>
      <c r="N83" s="122">
        <f>'FY2010-2014 - 4.5% SW TDT'!$B$21</f>
        <v>383981.96</v>
      </c>
      <c r="O83" s="122">
        <f>'FY2010-2014 - 4.5% SW TDT'!$B$38</f>
        <v>597104.03</v>
      </c>
      <c r="P83" s="122">
        <f>'FY2010-2014 - 4.5% SW TDT'!$B$55</f>
        <v>663115.24</v>
      </c>
      <c r="Q83" s="122">
        <f>'FY2010-2014 - 4.5% SW TDT'!$B$72</f>
        <v>746737.11</v>
      </c>
      <c r="R83" s="122">
        <f>'FY2010-2014 - 4.5% SW TDT'!$B$89</f>
        <v>775248.77</v>
      </c>
      <c r="S83" s="101">
        <f>'FY2015-2019 - 4% SW TDT'!$B$21</f>
        <v>964406.11</v>
      </c>
      <c r="T83" s="101">
        <f>'FY2015-2019 - 4% SW TDT'!$B$37</f>
        <v>948775.44</v>
      </c>
      <c r="U83" s="101">
        <f>'FY2015-2019 - 4% SW TDT'!$B$53</f>
        <v>971301.15</v>
      </c>
      <c r="V83" s="101">
        <f>'FY2015-2019 - 4% SW TDT'!$B$69</f>
        <v>1035782.48</v>
      </c>
      <c r="W83" s="101">
        <f>'FY2015-2019 - 4% SW TDT'!$B$85</f>
        <v>992931.61</v>
      </c>
      <c r="X83" s="101">
        <f>'FY2020-Present - 5% SW TDT'!$B$21</f>
        <v>1520691.17</v>
      </c>
      <c r="Y83" s="101">
        <f>'FY2020-Present - 5% SW TDT'!$B$37</f>
        <v>1920775.72</v>
      </c>
      <c r="Z83" s="101">
        <f>'FY2020-Present - 5% SW TDT'!$B$53</f>
        <v>1873772.01</v>
      </c>
      <c r="AA83" s="101">
        <f>'FY2020-Present - 5% SW TDT'!$B$69</f>
        <v>1807631.6</v>
      </c>
      <c r="AB83" s="101">
        <f>'FY2020-Present - 5% SW TDT'!B85</f>
        <v>1528063.52</v>
      </c>
      <c r="AC83" s="101">
        <f>'FY2020-Present - 5% SW TDT'!B101</f>
        <v>1448823.3480000002</v>
      </c>
      <c r="AD83" s="101">
        <f>'FY2020-Present - 5% SW TDT'!B117</f>
        <v>0</v>
      </c>
    </row>
    <row r="84" spans="2:30" ht="13.5" thickBot="1" x14ac:dyDescent="0.35">
      <c r="B84" s="103" t="s">
        <v>87</v>
      </c>
      <c r="C84" s="119">
        <f>SUM(C72:C83)</f>
        <v>2623046.69</v>
      </c>
      <c r="D84" s="119">
        <f t="shared" ref="D84:X84" si="52">SUM(D72:D83)</f>
        <v>2996500.04</v>
      </c>
      <c r="E84" s="119">
        <f t="shared" si="52"/>
        <v>3126067.4899999998</v>
      </c>
      <c r="F84" s="119">
        <f>SUM(F72:F83)</f>
        <v>3447047.2500000005</v>
      </c>
      <c r="G84" s="119">
        <f t="shared" si="52"/>
        <v>3839821.29</v>
      </c>
      <c r="H84" s="119">
        <f t="shared" si="52"/>
        <v>4168299.3499999996</v>
      </c>
      <c r="I84" s="119">
        <f t="shared" si="52"/>
        <v>4365378.9400000004</v>
      </c>
      <c r="J84" s="119">
        <f>SUM(J72:J83)</f>
        <v>4745379.0900000008</v>
      </c>
      <c r="K84" s="119">
        <f t="shared" si="52"/>
        <v>5338447.25</v>
      </c>
      <c r="L84" s="119">
        <f t="shared" si="52"/>
        <v>5614838.7199999997</v>
      </c>
      <c r="M84" s="119">
        <f t="shared" si="52"/>
        <v>5216552.3099999996</v>
      </c>
      <c r="N84" s="119">
        <f t="shared" si="52"/>
        <v>4779626.5999999996</v>
      </c>
      <c r="O84" s="119">
        <f t="shared" si="52"/>
        <v>6191602.9900000002</v>
      </c>
      <c r="P84" s="119">
        <f t="shared" si="52"/>
        <v>7329610.7800000003</v>
      </c>
      <c r="Q84" s="119">
        <f t="shared" si="52"/>
        <v>8261396.5800000001</v>
      </c>
      <c r="R84" s="119">
        <f t="shared" si="52"/>
        <v>8883787.0722222216</v>
      </c>
      <c r="S84" s="119">
        <f t="shared" si="52"/>
        <v>10058428.869999999</v>
      </c>
      <c r="T84" s="119">
        <f t="shared" si="52"/>
        <v>10875638.039999999</v>
      </c>
      <c r="U84" s="119">
        <f t="shared" si="52"/>
        <v>11763236.450000001</v>
      </c>
      <c r="V84" s="119">
        <f t="shared" si="52"/>
        <v>12863870.150000002</v>
      </c>
      <c r="W84" s="119">
        <f t="shared" si="52"/>
        <v>13851646.259999998</v>
      </c>
      <c r="X84" s="119">
        <f t="shared" si="52"/>
        <v>12870867.85</v>
      </c>
      <c r="Y84" s="119">
        <f>SUM(Y72:Y83)</f>
        <v>23163212.550000001</v>
      </c>
      <c r="Z84" s="119">
        <f t="shared" ref="Z84:AA84" si="53">SUM(Z72:Z83)</f>
        <v>25095892.164000001</v>
      </c>
      <c r="AA84" s="119">
        <f t="shared" si="53"/>
        <v>24017933.640000001</v>
      </c>
      <c r="AB84" s="119">
        <f t="shared" ref="AB84:AC84" si="54">SUM(AB72:AB83)</f>
        <v>24027788.604000002</v>
      </c>
      <c r="AC84" s="119">
        <f t="shared" si="54"/>
        <v>23998738.566</v>
      </c>
      <c r="AD84" s="119">
        <f t="shared" ref="AD84" si="55">SUM(AD72:AD83)</f>
        <v>3784235.2440000004</v>
      </c>
    </row>
    <row r="85" spans="2:30" ht="13.5" thickTop="1" x14ac:dyDescent="0.3"/>
    <row r="86" spans="2:30" x14ac:dyDescent="0.3">
      <c r="B86" s="142" t="s">
        <v>142</v>
      </c>
      <c r="C86" s="142"/>
      <c r="D86" s="142"/>
      <c r="E86" s="142"/>
      <c r="F86" s="142"/>
    </row>
    <row r="87" spans="2:30" x14ac:dyDescent="0.3">
      <c r="B87" s="132">
        <f>SUM(O41:O67)</f>
        <v>273514655.58622229</v>
      </c>
      <c r="C87" s="132"/>
      <c r="D87" s="133" t="s">
        <v>171</v>
      </c>
      <c r="E87" s="133"/>
      <c r="F87" s="133"/>
    </row>
    <row r="88" spans="2:30" x14ac:dyDescent="0.3">
      <c r="B88" s="36"/>
      <c r="C88" s="36"/>
    </row>
    <row r="89" spans="2:30" x14ac:dyDescent="0.3">
      <c r="B89" s="132">
        <f>SUM(O41:O68)</f>
        <v>277298890.83022231</v>
      </c>
      <c r="C89" s="132"/>
      <c r="D89" s="133" t="s">
        <v>172</v>
      </c>
      <c r="E89" s="133"/>
      <c r="F89" s="133"/>
    </row>
    <row r="90" spans="2:30" x14ac:dyDescent="0.3">
      <c r="C90" s="108" t="s">
        <v>119</v>
      </c>
      <c r="D90" s="109" t="s">
        <v>175</v>
      </c>
    </row>
    <row r="92" spans="2:30" x14ac:dyDescent="0.3">
      <c r="B92" s="131">
        <f>'FY2020-Present - 5% SW TDT'!G102+'FY2020-Present - 5% SW TDT'!G86+'FY2020-Present - 5% SW TDT'!G70+'FY2020-Present - 5% SW TDT'!G54+'FY2020-Present - 5% SW TDT'!G38+'FY2020-Present - 5% SW TDT'!G22+'FY2015-2019 - 4% SW TDT'!$F$90+'FY2010-2014 - 4.5% SW TDT'!$F$94+'FY2004-2009 - 4% SW TDT'!$E$147+'FY1999-2003 - 3% SW TDT'!$D$121</f>
        <v>612490308.1400001</v>
      </c>
      <c r="C92" s="131"/>
      <c r="D92" s="116" t="s">
        <v>173</v>
      </c>
      <c r="E92" s="116"/>
      <c r="F92" s="116"/>
      <c r="G92" s="117"/>
    </row>
    <row r="93" spans="2:30" x14ac:dyDescent="0.3">
      <c r="B93" s="117"/>
      <c r="C93" s="117"/>
      <c r="D93" s="117"/>
      <c r="E93" s="117"/>
      <c r="F93" s="117"/>
      <c r="G93" s="117"/>
    </row>
    <row r="94" spans="2:30" x14ac:dyDescent="0.3">
      <c r="B94" s="131">
        <f>'FY2020-Present - 5% SW TDT'!G118+'FY2020-Present - 5% SW TDT'!G102+'FY2020-Present - 5% SW TDT'!G86+'FY2020-Present - 5% SW TDT'!G70+'FY2020-Present - 5% SW TDT'!G54+'FY2020-Present - 5% SW TDT'!G38+'FY2020-Present - 5% SW TDT'!G22+'FY2015-2019 - 4% SW TDT'!$F$90+'FY2010-2014 - 4.5% SW TDT'!$F$94+'FY2004-2009 - 4% SW TDT'!$E$147+'FY1999-2003 - 3% SW TDT'!$D$121</f>
        <v>621950896.24799991</v>
      </c>
      <c r="C94" s="131"/>
      <c r="D94" s="116" t="s">
        <v>174</v>
      </c>
      <c r="E94" s="116"/>
      <c r="F94" s="116"/>
      <c r="G94" s="117"/>
    </row>
    <row r="95" spans="2:30" x14ac:dyDescent="0.3">
      <c r="B95" s="117"/>
      <c r="C95" s="118" t="s">
        <v>119</v>
      </c>
      <c r="D95" s="109" t="s">
        <v>175</v>
      </c>
      <c r="E95" s="117"/>
      <c r="F95" s="117"/>
      <c r="G95" s="117"/>
    </row>
  </sheetData>
  <sheetProtection algorithmName="SHA-512" hashValue="uvtU2QqyOkwfxm8hXSF1aKuy1pYKni4Sxp3TJfD8WRSGGGFITAFTSEmH5zmR60ha7MAuj4OzgkuTZtrlu63BjQ==" saltValue="GoszjsLwZoi/klE9wPLgRA==" spinCount="100000" sheet="1" objects="1" scenarios="1"/>
  <mergeCells count="24">
    <mergeCell ref="A5:O6"/>
    <mergeCell ref="B92:C92"/>
    <mergeCell ref="B94:C94"/>
    <mergeCell ref="Q9:R9"/>
    <mergeCell ref="S9:T9"/>
    <mergeCell ref="B89:C89"/>
    <mergeCell ref="B87:C87"/>
    <mergeCell ref="D87:F87"/>
    <mergeCell ref="D89:F89"/>
    <mergeCell ref="B9:B10"/>
    <mergeCell ref="B39:O39"/>
    <mergeCell ref="B8:Z8"/>
    <mergeCell ref="M9:N9"/>
    <mergeCell ref="O9:P9"/>
    <mergeCell ref="B86:F86"/>
    <mergeCell ref="W9:X9"/>
    <mergeCell ref="C9:D9"/>
    <mergeCell ref="B70:AD70"/>
    <mergeCell ref="Y9:Z9"/>
    <mergeCell ref="E9:F9"/>
    <mergeCell ref="G9:H9"/>
    <mergeCell ref="I9:J9"/>
    <mergeCell ref="K9:L9"/>
    <mergeCell ref="U9:V9"/>
  </mergeCells>
  <phoneticPr fontId="13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topLeftCell="B84" zoomScale="98" zoomScaleNormal="98" workbookViewId="0">
      <selection activeCell="G109" sqref="G109"/>
    </sheetView>
  </sheetViews>
  <sheetFormatPr defaultColWidth="9.1796875" defaultRowHeight="14" x14ac:dyDescent="0.3"/>
  <cols>
    <col min="1" max="1" width="14.453125" style="39" customWidth="1"/>
    <col min="2" max="2" width="16.26953125" style="40" customWidth="1"/>
    <col min="3" max="3" width="16.7265625" style="40" customWidth="1"/>
    <col min="4" max="4" width="16.7265625" style="40" bestFit="1" customWidth="1"/>
    <col min="5" max="5" width="14.1796875" style="40" bestFit="1" customWidth="1"/>
    <col min="6" max="7" width="16.7265625" style="40" bestFit="1" customWidth="1"/>
    <col min="8" max="8" width="17.54296875" style="41" bestFit="1" customWidth="1"/>
    <col min="9" max="9" width="17.26953125" style="41" bestFit="1" customWidth="1"/>
    <col min="10" max="10" width="16.54296875" style="41" customWidth="1"/>
    <col min="11" max="16384" width="9.1796875" style="41"/>
  </cols>
  <sheetData>
    <row r="1" spans="1:9" x14ac:dyDescent="0.3">
      <c r="A1" s="39" t="s">
        <v>13</v>
      </c>
    </row>
    <row r="2" spans="1:9" x14ac:dyDescent="0.3">
      <c r="A2" s="39" t="s">
        <v>141</v>
      </c>
    </row>
    <row r="3" spans="1:9" ht="14.5" x14ac:dyDescent="0.35">
      <c r="A3" s="42" t="s">
        <v>83</v>
      </c>
    </row>
    <row r="5" spans="1:9" x14ac:dyDescent="0.3">
      <c r="A5" s="125" t="s">
        <v>84</v>
      </c>
      <c r="B5" s="125"/>
      <c r="C5" s="125"/>
      <c r="D5" s="125"/>
      <c r="E5" s="125"/>
      <c r="F5" s="125"/>
      <c r="G5" s="125"/>
    </row>
    <row r="6" spans="1:9" x14ac:dyDescent="0.3">
      <c r="A6" s="125"/>
      <c r="B6" s="125"/>
      <c r="C6" s="125"/>
      <c r="D6" s="125"/>
      <c r="E6" s="125"/>
      <c r="F6" s="125"/>
      <c r="G6" s="125"/>
    </row>
    <row r="8" spans="1:9" ht="14.5" x14ac:dyDescent="0.35">
      <c r="A8" s="43"/>
      <c r="B8" s="44">
        <v>0.02</v>
      </c>
      <c r="C8" s="44">
        <v>0.03</v>
      </c>
      <c r="D8" s="44">
        <v>0.04</v>
      </c>
      <c r="E8" s="44">
        <v>4.4999999999999998E-2</v>
      </c>
      <c r="F8" s="44">
        <v>0.05</v>
      </c>
      <c r="G8" s="45"/>
    </row>
    <row r="9" spans="1:9" ht="15.75" customHeight="1" x14ac:dyDescent="0.3">
      <c r="A9" s="46"/>
      <c r="B9" s="47" t="s">
        <v>80</v>
      </c>
      <c r="C9" s="47" t="s">
        <v>81</v>
      </c>
      <c r="D9" s="47" t="s">
        <v>81</v>
      </c>
      <c r="E9" s="47" t="s">
        <v>82</v>
      </c>
      <c r="F9" s="47" t="s">
        <v>81</v>
      </c>
      <c r="G9" s="47" t="s">
        <v>85</v>
      </c>
    </row>
    <row r="10" spans="1:9" x14ac:dyDescent="0.3">
      <c r="A10" s="46" t="s">
        <v>0</v>
      </c>
      <c r="B10" s="48">
        <v>799310.65</v>
      </c>
      <c r="C10" s="48">
        <v>399655.33</v>
      </c>
      <c r="D10" s="48">
        <v>399655.33</v>
      </c>
      <c r="E10" s="48">
        <v>0</v>
      </c>
      <c r="F10" s="49">
        <v>0</v>
      </c>
      <c r="G10" s="50">
        <f>SUM(B10:F10)</f>
        <v>1598621.31</v>
      </c>
    </row>
    <row r="11" spans="1:9" x14ac:dyDescent="0.3">
      <c r="A11" s="46" t="s">
        <v>1</v>
      </c>
      <c r="B11" s="48">
        <f>361073.99+(3000*0.02)-(((3000*0.05)*0.025)/5)-(((3000*0.05)*0.025)/5)</f>
        <v>361132.49</v>
      </c>
      <c r="C11" s="48">
        <f>180537+(3000*0.01)-(((3000*0.05)*0.025)/5)</f>
        <v>180566.25</v>
      </c>
      <c r="D11" s="48">
        <f>180537+(3000*0.01)-(((3000*0.05)*0.025)/5)</f>
        <v>180566.25</v>
      </c>
      <c r="E11" s="48">
        <v>0</v>
      </c>
      <c r="F11" s="48">
        <f>(3000*0.01)-(((3000*0.05)*0.025)/5)</f>
        <v>29.25</v>
      </c>
      <c r="G11" s="50">
        <f t="shared" ref="G11:G21" si="0">SUM(B11:F11)</f>
        <v>722294.24</v>
      </c>
    </row>
    <row r="12" spans="1:9" x14ac:dyDescent="0.3">
      <c r="A12" s="46" t="s">
        <v>2</v>
      </c>
      <c r="B12" s="48">
        <v>357799.22</v>
      </c>
      <c r="C12" s="48">
        <v>178899.6</v>
      </c>
      <c r="D12" s="48">
        <v>178899.6</v>
      </c>
      <c r="E12" s="48">
        <v>0</v>
      </c>
      <c r="F12" s="48">
        <v>694.39</v>
      </c>
      <c r="G12" s="50">
        <f t="shared" si="0"/>
        <v>716292.80999999994</v>
      </c>
    </row>
    <row r="13" spans="1:9" x14ac:dyDescent="0.3">
      <c r="A13" s="46" t="s">
        <v>3</v>
      </c>
      <c r="B13" s="48">
        <v>328471.15999999997</v>
      </c>
      <c r="C13" s="48">
        <v>164235.57999999999</v>
      </c>
      <c r="D13" s="48">
        <v>164235.57999999999</v>
      </c>
      <c r="E13" s="48">
        <v>0</v>
      </c>
      <c r="F13" s="48">
        <v>147365.25</v>
      </c>
      <c r="G13" s="50">
        <f t="shared" si="0"/>
        <v>804307.57</v>
      </c>
    </row>
    <row r="14" spans="1:9" x14ac:dyDescent="0.3">
      <c r="A14" s="46" t="s">
        <v>4</v>
      </c>
      <c r="B14" s="48">
        <v>365559.62</v>
      </c>
      <c r="C14" s="48">
        <v>182779.81</v>
      </c>
      <c r="D14" s="48">
        <v>182779.81</v>
      </c>
      <c r="E14" s="48">
        <v>0</v>
      </c>
      <c r="F14" s="48">
        <v>170151.89</v>
      </c>
      <c r="G14" s="50">
        <f t="shared" si="0"/>
        <v>901271.13</v>
      </c>
      <c r="H14" s="51"/>
      <c r="I14" s="52"/>
    </row>
    <row r="15" spans="1:9" x14ac:dyDescent="0.3">
      <c r="A15" s="46" t="s">
        <v>5</v>
      </c>
      <c r="B15" s="48">
        <v>677696.57</v>
      </c>
      <c r="C15" s="48">
        <v>338848.29</v>
      </c>
      <c r="D15" s="48">
        <v>338848.29</v>
      </c>
      <c r="E15" s="48">
        <v>0</v>
      </c>
      <c r="F15" s="48">
        <v>330914.65000000002</v>
      </c>
      <c r="G15" s="50">
        <f t="shared" si="0"/>
        <v>1686307.7999999998</v>
      </c>
    </row>
    <row r="16" spans="1:9" x14ac:dyDescent="0.3">
      <c r="A16" s="46" t="s">
        <v>6</v>
      </c>
      <c r="B16" s="48">
        <v>151905.13</v>
      </c>
      <c r="C16" s="48">
        <v>75952.56</v>
      </c>
      <c r="D16" s="48">
        <v>75952.56</v>
      </c>
      <c r="E16" s="48">
        <v>0</v>
      </c>
      <c r="F16" s="48">
        <v>70130.75</v>
      </c>
      <c r="G16" s="50">
        <f t="shared" si="0"/>
        <v>373941</v>
      </c>
    </row>
    <row r="17" spans="1:9" x14ac:dyDescent="0.3">
      <c r="A17" s="46" t="s">
        <v>7</v>
      </c>
      <c r="B17" s="48">
        <v>653886.94999999995</v>
      </c>
      <c r="C17" s="48">
        <v>326943.48</v>
      </c>
      <c r="D17" s="48">
        <v>326943.48</v>
      </c>
      <c r="E17" s="48">
        <v>0</v>
      </c>
      <c r="F17" s="48">
        <v>318837.34999999998</v>
      </c>
      <c r="G17" s="50">
        <f t="shared" si="0"/>
        <v>1626611.2599999998</v>
      </c>
    </row>
    <row r="18" spans="1:9" x14ac:dyDescent="0.3">
      <c r="A18" s="46" t="s">
        <v>8</v>
      </c>
      <c r="B18" s="48">
        <v>2625812.71</v>
      </c>
      <c r="C18" s="48">
        <v>1312906.3400000001</v>
      </c>
      <c r="D18" s="48">
        <v>1312906.3400000001</v>
      </c>
      <c r="E18" s="48">
        <v>0</v>
      </c>
      <c r="F18" s="48">
        <v>1305040.67</v>
      </c>
      <c r="G18" s="50">
        <f t="shared" si="0"/>
        <v>6556666.0599999996</v>
      </c>
    </row>
    <row r="19" spans="1:9" x14ac:dyDescent="0.3">
      <c r="A19" s="46" t="s">
        <v>9</v>
      </c>
      <c r="B19" s="48">
        <v>2823106.8</v>
      </c>
      <c r="C19" s="48">
        <v>1411553.39</v>
      </c>
      <c r="D19" s="48">
        <v>1411553.39</v>
      </c>
      <c r="E19" s="48">
        <v>0</v>
      </c>
      <c r="F19" s="48">
        <v>1398538.83</v>
      </c>
      <c r="G19" s="50">
        <f t="shared" si="0"/>
        <v>7044752.4099999992</v>
      </c>
    </row>
    <row r="20" spans="1:9" x14ac:dyDescent="0.3">
      <c r="A20" s="46" t="s">
        <v>10</v>
      </c>
      <c r="B20" s="48">
        <v>2205495.38</v>
      </c>
      <c r="C20" s="48">
        <v>1102747.69</v>
      </c>
      <c r="D20" s="48">
        <v>1102747.69</v>
      </c>
      <c r="E20" s="48">
        <v>0</v>
      </c>
      <c r="F20" s="48">
        <v>1093854.42</v>
      </c>
      <c r="G20" s="50">
        <f t="shared" si="0"/>
        <v>5504845.1799999997</v>
      </c>
    </row>
    <row r="21" spans="1:9" x14ac:dyDescent="0.3">
      <c r="A21" s="46" t="s">
        <v>11</v>
      </c>
      <c r="B21" s="59">
        <v>1520691.17</v>
      </c>
      <c r="C21" s="59">
        <v>760345.59</v>
      </c>
      <c r="D21" s="59">
        <v>760345.59</v>
      </c>
      <c r="E21" s="59">
        <v>0</v>
      </c>
      <c r="F21" s="59">
        <v>753111.05</v>
      </c>
      <c r="G21" s="50">
        <f t="shared" si="0"/>
        <v>3794493.3999999994</v>
      </c>
    </row>
    <row r="22" spans="1:9" ht="14.5" thickBot="1" x14ac:dyDescent="0.35">
      <c r="A22" s="53" t="s">
        <v>85</v>
      </c>
      <c r="B22" s="54">
        <f t="shared" ref="B22:G22" si="1">SUM(B10:B21)</f>
        <v>12870867.85</v>
      </c>
      <c r="C22" s="54">
        <f t="shared" si="1"/>
        <v>6435433.9100000001</v>
      </c>
      <c r="D22" s="54">
        <f t="shared" si="1"/>
        <v>6435433.9100000001</v>
      </c>
      <c r="E22" s="54">
        <f t="shared" si="1"/>
        <v>0</v>
      </c>
      <c r="F22" s="54">
        <f t="shared" si="1"/>
        <v>5588668.5</v>
      </c>
      <c r="G22" s="54">
        <f t="shared" si="1"/>
        <v>31330404.169999998</v>
      </c>
      <c r="H22" s="51"/>
      <c r="I22" s="52"/>
    </row>
    <row r="23" spans="1:9" ht="14.5" thickTop="1" x14ac:dyDescent="0.3"/>
    <row r="24" spans="1:9" ht="14.5" x14ac:dyDescent="0.35">
      <c r="A24" s="43"/>
      <c r="B24" s="44">
        <v>0.02</v>
      </c>
      <c r="C24" s="44">
        <v>0.03</v>
      </c>
      <c r="D24" s="44">
        <v>0.04</v>
      </c>
      <c r="E24" s="44">
        <v>4.4999999999999998E-2</v>
      </c>
      <c r="F24" s="44">
        <v>0.05</v>
      </c>
      <c r="G24" s="45"/>
      <c r="I24" s="51"/>
    </row>
    <row r="25" spans="1:9" x14ac:dyDescent="0.3">
      <c r="A25" s="46"/>
      <c r="B25" s="47" t="s">
        <v>135</v>
      </c>
      <c r="C25" s="47" t="s">
        <v>136</v>
      </c>
      <c r="D25" s="47" t="s">
        <v>136</v>
      </c>
      <c r="E25" s="47" t="s">
        <v>137</v>
      </c>
      <c r="F25" s="47" t="s">
        <v>136</v>
      </c>
      <c r="G25" s="47" t="s">
        <v>138</v>
      </c>
    </row>
    <row r="26" spans="1:9" x14ac:dyDescent="0.3">
      <c r="A26" s="46" t="s">
        <v>0</v>
      </c>
      <c r="B26" s="59">
        <v>1350318.8</v>
      </c>
      <c r="C26" s="59">
        <v>675159.4</v>
      </c>
      <c r="D26" s="59">
        <v>675159.4</v>
      </c>
      <c r="E26" s="59">
        <v>0</v>
      </c>
      <c r="F26" s="59">
        <v>666212.26</v>
      </c>
      <c r="G26" s="50">
        <f>SUM(B26:F26)</f>
        <v>3366849.8600000003</v>
      </c>
    </row>
    <row r="27" spans="1:9" x14ac:dyDescent="0.3">
      <c r="A27" s="46" t="s">
        <v>1</v>
      </c>
      <c r="B27" s="59">
        <v>670335.93000000005</v>
      </c>
      <c r="C27" s="59">
        <v>335167.96999999997</v>
      </c>
      <c r="D27" s="59">
        <v>335167.96999999997</v>
      </c>
      <c r="E27" s="59">
        <v>0</v>
      </c>
      <c r="F27" s="59">
        <v>328109.56</v>
      </c>
      <c r="G27" s="50">
        <f t="shared" ref="G27:G37" si="2">SUM(B27:F27)</f>
        <v>1668781.4300000002</v>
      </c>
    </row>
    <row r="28" spans="1:9" x14ac:dyDescent="0.3">
      <c r="A28" s="46" t="s">
        <v>2</v>
      </c>
      <c r="B28" s="59">
        <v>577172.19999999995</v>
      </c>
      <c r="C28" s="59">
        <v>288586.09999999998</v>
      </c>
      <c r="D28" s="59">
        <v>288586.09999999998</v>
      </c>
      <c r="E28" s="59">
        <v>0</v>
      </c>
      <c r="F28" s="59">
        <v>285741.26</v>
      </c>
      <c r="G28" s="50">
        <f t="shared" si="2"/>
        <v>1440085.66</v>
      </c>
    </row>
    <row r="29" spans="1:9" x14ac:dyDescent="0.3">
      <c r="A29" s="46" t="s">
        <v>3</v>
      </c>
      <c r="B29" s="59">
        <v>448827.43</v>
      </c>
      <c r="C29" s="59">
        <v>224413.73</v>
      </c>
      <c r="D29" s="59">
        <v>224413.73</v>
      </c>
      <c r="E29" s="59">
        <v>0</v>
      </c>
      <c r="F29" s="59">
        <v>220652.68</v>
      </c>
      <c r="G29" s="50">
        <f t="shared" si="2"/>
        <v>1118307.57</v>
      </c>
    </row>
    <row r="30" spans="1:9" x14ac:dyDescent="0.3">
      <c r="A30" s="46" t="s">
        <v>4</v>
      </c>
      <c r="B30" s="59">
        <v>487921.36</v>
      </c>
      <c r="C30" s="59">
        <v>243960.69</v>
      </c>
      <c r="D30" s="59">
        <v>243960.69</v>
      </c>
      <c r="E30" s="59">
        <v>0</v>
      </c>
      <c r="F30" s="59">
        <v>239559.53</v>
      </c>
      <c r="G30" s="50">
        <f t="shared" si="2"/>
        <v>1215402.27</v>
      </c>
    </row>
    <row r="31" spans="1:9" x14ac:dyDescent="0.3">
      <c r="A31" s="46" t="s">
        <v>5</v>
      </c>
      <c r="B31" s="59">
        <v>1873590.35</v>
      </c>
      <c r="C31" s="59">
        <v>936795.18</v>
      </c>
      <c r="D31" s="59">
        <v>936795.18</v>
      </c>
      <c r="E31" s="59">
        <v>0</v>
      </c>
      <c r="F31" s="59">
        <v>932873.96</v>
      </c>
      <c r="G31" s="50">
        <f t="shared" si="2"/>
        <v>4680054.67</v>
      </c>
      <c r="I31" s="51"/>
    </row>
    <row r="32" spans="1:9" x14ac:dyDescent="0.3">
      <c r="A32" s="46" t="s">
        <v>6</v>
      </c>
      <c r="B32" s="59">
        <v>1973219.38</v>
      </c>
      <c r="C32" s="59">
        <v>986609.68</v>
      </c>
      <c r="D32" s="59">
        <v>986609.68</v>
      </c>
      <c r="E32" s="59">
        <v>0</v>
      </c>
      <c r="F32" s="59">
        <v>985449.43</v>
      </c>
      <c r="G32" s="50">
        <f t="shared" si="2"/>
        <v>4931888.17</v>
      </c>
    </row>
    <row r="33" spans="1:8" x14ac:dyDescent="0.3">
      <c r="A33" s="46" t="s">
        <v>7</v>
      </c>
      <c r="B33" s="59">
        <v>2487791.27</v>
      </c>
      <c r="C33" s="59">
        <v>1243895.6299999999</v>
      </c>
      <c r="D33" s="59">
        <v>1243895.6299999999</v>
      </c>
      <c r="E33" s="59">
        <v>0</v>
      </c>
      <c r="F33" s="59">
        <v>1240049.81</v>
      </c>
      <c r="G33" s="50">
        <f t="shared" si="2"/>
        <v>6215632.3399999999</v>
      </c>
    </row>
    <row r="34" spans="1:8" ht="14.5" x14ac:dyDescent="0.35">
      <c r="A34" s="46" t="s">
        <v>8</v>
      </c>
      <c r="B34" s="59">
        <v>3868458.9619999998</v>
      </c>
      <c r="C34" s="59">
        <v>1934229.486</v>
      </c>
      <c r="D34" s="59">
        <v>1934229.486</v>
      </c>
      <c r="E34" s="59">
        <v>0</v>
      </c>
      <c r="F34" s="59">
        <v>1929067.6459999999</v>
      </c>
      <c r="G34" s="50">
        <f t="shared" si="2"/>
        <v>9665985.5800000001</v>
      </c>
      <c r="H34" s="114" t="s">
        <v>145</v>
      </c>
    </row>
    <row r="35" spans="1:8" x14ac:dyDescent="0.3">
      <c r="A35" s="46" t="s">
        <v>9</v>
      </c>
      <c r="B35" s="115">
        <v>4543680.8479999993</v>
      </c>
      <c r="C35" s="115">
        <v>2271840.4439999997</v>
      </c>
      <c r="D35" s="115">
        <v>2271840.4439999997</v>
      </c>
      <c r="E35" s="115">
        <v>0</v>
      </c>
      <c r="F35" s="115">
        <v>2270562.1039999998</v>
      </c>
      <c r="G35" s="50">
        <f t="shared" si="2"/>
        <v>11357923.84</v>
      </c>
    </row>
    <row r="36" spans="1:8" x14ac:dyDescent="0.3">
      <c r="A36" s="46" t="s">
        <v>10</v>
      </c>
      <c r="B36" s="59">
        <v>2961120.3</v>
      </c>
      <c r="C36" s="59">
        <v>1480560.15</v>
      </c>
      <c r="D36" s="59">
        <v>1480560.15</v>
      </c>
      <c r="E36" s="59">
        <v>0</v>
      </c>
      <c r="F36" s="59">
        <v>1480199.12</v>
      </c>
      <c r="G36" s="50">
        <f t="shared" si="2"/>
        <v>7402439.7199999997</v>
      </c>
    </row>
    <row r="37" spans="1:8" x14ac:dyDescent="0.3">
      <c r="A37" s="46" t="s">
        <v>11</v>
      </c>
      <c r="B37" s="59">
        <v>1920775.72</v>
      </c>
      <c r="C37" s="59">
        <v>960387.85</v>
      </c>
      <c r="D37" s="59">
        <v>960387.85</v>
      </c>
      <c r="E37" s="59">
        <v>0</v>
      </c>
      <c r="F37" s="59">
        <v>959527.86</v>
      </c>
      <c r="G37" s="50">
        <f t="shared" si="2"/>
        <v>4801079.28</v>
      </c>
    </row>
    <row r="38" spans="1:8" ht="14.5" thickBot="1" x14ac:dyDescent="0.35">
      <c r="A38" s="53" t="s">
        <v>134</v>
      </c>
      <c r="B38" s="54">
        <f t="shared" ref="B38:G38" si="3">SUM(B26:B37)</f>
        <v>23163212.550000001</v>
      </c>
      <c r="C38" s="54">
        <f t="shared" si="3"/>
        <v>11581606.310000001</v>
      </c>
      <c r="D38" s="54">
        <f t="shared" si="3"/>
        <v>11581606.310000001</v>
      </c>
      <c r="E38" s="54">
        <f t="shared" si="3"/>
        <v>0</v>
      </c>
      <c r="F38" s="54">
        <f t="shared" si="3"/>
        <v>11538005.219999999</v>
      </c>
      <c r="G38" s="54">
        <f t="shared" si="3"/>
        <v>57864430.390000001</v>
      </c>
    </row>
    <row r="39" spans="1:8" ht="14.5" thickTop="1" x14ac:dyDescent="0.3"/>
    <row r="40" spans="1:8" ht="14.5" x14ac:dyDescent="0.35">
      <c r="A40" s="43"/>
      <c r="B40" s="44">
        <v>0.02</v>
      </c>
      <c r="C40" s="44">
        <v>0.03</v>
      </c>
      <c r="D40" s="44">
        <v>0.04</v>
      </c>
      <c r="E40" s="44">
        <v>4.4999999999999998E-2</v>
      </c>
      <c r="F40" s="44">
        <v>0.05</v>
      </c>
      <c r="G40" s="45"/>
    </row>
    <row r="41" spans="1:8" x14ac:dyDescent="0.3">
      <c r="A41" s="46"/>
      <c r="B41" s="47" t="s">
        <v>146</v>
      </c>
      <c r="C41" s="47" t="s">
        <v>148</v>
      </c>
      <c r="D41" s="47" t="s">
        <v>148</v>
      </c>
      <c r="E41" s="47" t="s">
        <v>149</v>
      </c>
      <c r="F41" s="47" t="s">
        <v>148</v>
      </c>
      <c r="G41" s="47" t="s">
        <v>150</v>
      </c>
    </row>
    <row r="42" spans="1:8" x14ac:dyDescent="0.3">
      <c r="A42" s="46" t="s">
        <v>0</v>
      </c>
      <c r="B42" s="59">
        <v>1708326.91</v>
      </c>
      <c r="C42" s="59">
        <v>854163.46</v>
      </c>
      <c r="D42" s="59">
        <v>854163.46</v>
      </c>
      <c r="E42" s="59">
        <v>0</v>
      </c>
      <c r="F42" s="59">
        <v>852442.42</v>
      </c>
      <c r="G42" s="50">
        <f>SUM(B42:F42)</f>
        <v>4269096.25</v>
      </c>
    </row>
    <row r="43" spans="1:8" x14ac:dyDescent="0.3">
      <c r="A43" s="46" t="s">
        <v>1</v>
      </c>
      <c r="B43" s="59">
        <v>769154.13</v>
      </c>
      <c r="C43" s="59">
        <v>384577.06</v>
      </c>
      <c r="D43" s="59">
        <v>384577.06</v>
      </c>
      <c r="E43" s="59">
        <v>0</v>
      </c>
      <c r="F43" s="59">
        <v>384277.23</v>
      </c>
      <c r="G43" s="50">
        <f t="shared" ref="G43:G53" si="4">SUM(B43:F43)</f>
        <v>1922585.48</v>
      </c>
    </row>
    <row r="44" spans="1:8" x14ac:dyDescent="0.3">
      <c r="A44" s="46" t="s">
        <v>2</v>
      </c>
      <c r="B44" s="59">
        <v>667494.94999999995</v>
      </c>
      <c r="C44" s="59">
        <v>333747.48</v>
      </c>
      <c r="D44" s="59">
        <v>333747.48</v>
      </c>
      <c r="E44" s="59">
        <v>242.54</v>
      </c>
      <c r="F44" s="59">
        <v>331147.81</v>
      </c>
      <c r="G44" s="50">
        <f t="shared" si="4"/>
        <v>1666380.26</v>
      </c>
    </row>
    <row r="45" spans="1:8" x14ac:dyDescent="0.3">
      <c r="A45" s="46" t="s">
        <v>3</v>
      </c>
      <c r="B45" s="59">
        <v>565716.66</v>
      </c>
      <c r="C45" s="59">
        <v>282858.33</v>
      </c>
      <c r="D45" s="59">
        <v>282858.33</v>
      </c>
      <c r="E45" s="59">
        <v>21.67</v>
      </c>
      <c r="F45" s="59">
        <v>280415.84999999998</v>
      </c>
      <c r="G45" s="50">
        <f t="shared" si="4"/>
        <v>1411870.8399999999</v>
      </c>
    </row>
    <row r="46" spans="1:8" x14ac:dyDescent="0.3">
      <c r="A46" s="46" t="s">
        <v>4</v>
      </c>
      <c r="B46" s="59">
        <v>629915.98</v>
      </c>
      <c r="C46" s="59">
        <v>314957.99</v>
      </c>
      <c r="D46" s="59">
        <v>314957.99</v>
      </c>
      <c r="E46" s="59">
        <v>0</v>
      </c>
      <c r="F46" s="59">
        <v>306495</v>
      </c>
      <c r="G46" s="50">
        <f t="shared" si="4"/>
        <v>1566326.96</v>
      </c>
    </row>
    <row r="47" spans="1:8" x14ac:dyDescent="0.3">
      <c r="A47" s="46" t="s">
        <v>5</v>
      </c>
      <c r="B47" s="59">
        <f>2075875.04-(30.44*(2/5))</f>
        <v>2075862.8640000001</v>
      </c>
      <c r="C47" s="59">
        <f>1037937.51-(30.44*(1/5))</f>
        <v>1037931.422</v>
      </c>
      <c r="D47" s="59">
        <f>1037937.51-(30.44*(1/5))</f>
        <v>1037931.422</v>
      </c>
      <c r="E47" s="59">
        <v>0</v>
      </c>
      <c r="F47" s="59">
        <f>1028369.35-(30.44*(1/5))</f>
        <v>1028363.262</v>
      </c>
      <c r="G47" s="50">
        <f t="shared" si="4"/>
        <v>5180088.9700000007</v>
      </c>
    </row>
    <row r="48" spans="1:8" x14ac:dyDescent="0.3">
      <c r="A48" s="46" t="s">
        <v>6</v>
      </c>
      <c r="B48" s="59">
        <v>2263028.44</v>
      </c>
      <c r="C48" s="59">
        <v>1131514.22</v>
      </c>
      <c r="D48" s="59">
        <v>1131514.22</v>
      </c>
      <c r="E48" s="59">
        <v>5.56</v>
      </c>
      <c r="F48" s="59">
        <v>1130961.47</v>
      </c>
      <c r="G48" s="50">
        <f t="shared" si="4"/>
        <v>5657023.9099999992</v>
      </c>
    </row>
    <row r="49" spans="1:7" x14ac:dyDescent="0.3">
      <c r="A49" s="46" t="s">
        <v>7</v>
      </c>
      <c r="B49" s="59">
        <v>2411529.1800000002</v>
      </c>
      <c r="C49" s="59">
        <v>1205764.5900000001</v>
      </c>
      <c r="D49" s="59">
        <v>1205764.5900000001</v>
      </c>
      <c r="E49" s="59">
        <v>0</v>
      </c>
      <c r="F49" s="59">
        <v>1205764.5900000001</v>
      </c>
      <c r="G49" s="50">
        <f t="shared" si="4"/>
        <v>6028822.9500000002</v>
      </c>
    </row>
    <row r="50" spans="1:7" x14ac:dyDescent="0.3">
      <c r="A50" s="46" t="s">
        <v>8</v>
      </c>
      <c r="B50" s="59">
        <v>4509916.95</v>
      </c>
      <c r="C50" s="59">
        <v>2254958.48</v>
      </c>
      <c r="D50" s="59">
        <v>2254958.48</v>
      </c>
      <c r="E50" s="59">
        <v>0</v>
      </c>
      <c r="F50" s="59">
        <v>2250461.2799999998</v>
      </c>
      <c r="G50" s="50">
        <f t="shared" si="4"/>
        <v>11270295.189999999</v>
      </c>
    </row>
    <row r="51" spans="1:7" x14ac:dyDescent="0.3">
      <c r="A51" s="46" t="s">
        <v>9</v>
      </c>
      <c r="B51" s="59">
        <v>5289249.46</v>
      </c>
      <c r="C51" s="59">
        <v>2644624.7400000002</v>
      </c>
      <c r="D51" s="59">
        <v>2644624.7400000002</v>
      </c>
      <c r="E51" s="59">
        <v>0</v>
      </c>
      <c r="F51" s="59">
        <v>2643492</v>
      </c>
      <c r="G51" s="50">
        <f t="shared" si="4"/>
        <v>13221990.940000001</v>
      </c>
    </row>
    <row r="52" spans="1:7" x14ac:dyDescent="0.3">
      <c r="A52" s="46" t="s">
        <v>10</v>
      </c>
      <c r="B52" s="59">
        <v>2331924.63</v>
      </c>
      <c r="C52" s="59">
        <v>1165962.33</v>
      </c>
      <c r="D52" s="59">
        <v>1165962.33</v>
      </c>
      <c r="E52" s="59">
        <v>2113.2399999999998</v>
      </c>
      <c r="F52" s="59">
        <v>1155811.98</v>
      </c>
      <c r="G52" s="50">
        <f t="shared" si="4"/>
        <v>5821774.5099999998</v>
      </c>
    </row>
    <row r="53" spans="1:7" x14ac:dyDescent="0.3">
      <c r="A53" s="46" t="s">
        <v>11</v>
      </c>
      <c r="B53" s="59">
        <v>1873772.01</v>
      </c>
      <c r="C53" s="59">
        <v>936885.99</v>
      </c>
      <c r="D53" s="59">
        <v>936885.99</v>
      </c>
      <c r="E53" s="59">
        <v>634.20000000000005</v>
      </c>
      <c r="F53" s="59">
        <v>929510.23</v>
      </c>
      <c r="G53" s="50">
        <f t="shared" si="4"/>
        <v>4677688.42</v>
      </c>
    </row>
    <row r="54" spans="1:7" ht="14.5" thickBot="1" x14ac:dyDescent="0.35">
      <c r="A54" s="53" t="s">
        <v>147</v>
      </c>
      <c r="B54" s="54">
        <f t="shared" ref="B54:G54" si="5">SUM(B42:B53)</f>
        <v>25095892.164000001</v>
      </c>
      <c r="C54" s="54">
        <f t="shared" si="5"/>
        <v>12547946.092</v>
      </c>
      <c r="D54" s="54">
        <f t="shared" si="5"/>
        <v>12547946.092</v>
      </c>
      <c r="E54" s="54">
        <f t="shared" si="5"/>
        <v>3017.21</v>
      </c>
      <c r="F54" s="54">
        <f t="shared" si="5"/>
        <v>12499143.122000001</v>
      </c>
      <c r="G54" s="54">
        <f t="shared" si="5"/>
        <v>62693944.68</v>
      </c>
    </row>
    <row r="55" spans="1:7" ht="14.5" thickTop="1" x14ac:dyDescent="0.3"/>
    <row r="56" spans="1:7" ht="14.5" x14ac:dyDescent="0.35">
      <c r="A56" s="43"/>
      <c r="B56" s="44">
        <v>0.02</v>
      </c>
      <c r="C56" s="44">
        <v>0.03</v>
      </c>
      <c r="D56" s="44">
        <v>0.04</v>
      </c>
      <c r="E56" s="44">
        <v>4.4999999999999998E-2</v>
      </c>
      <c r="F56" s="44">
        <v>0.05</v>
      </c>
      <c r="G56" s="45"/>
    </row>
    <row r="57" spans="1:7" x14ac:dyDescent="0.3">
      <c r="A57" s="46"/>
      <c r="B57" s="47" t="s">
        <v>151</v>
      </c>
      <c r="C57" s="47" t="s">
        <v>152</v>
      </c>
      <c r="D57" s="47" t="s">
        <v>152</v>
      </c>
      <c r="E57" s="47" t="s">
        <v>153</v>
      </c>
      <c r="F57" s="47" t="s">
        <v>152</v>
      </c>
      <c r="G57" s="47" t="s">
        <v>155</v>
      </c>
    </row>
    <row r="58" spans="1:7" x14ac:dyDescent="0.3">
      <c r="A58" s="46" t="s">
        <v>0</v>
      </c>
      <c r="B58" s="59">
        <v>1639809.93</v>
      </c>
      <c r="C58" s="59">
        <v>819904.96</v>
      </c>
      <c r="D58" s="59">
        <v>819904.96</v>
      </c>
      <c r="E58" s="59">
        <v>45.23</v>
      </c>
      <c r="F58" s="59">
        <v>819697.4</v>
      </c>
      <c r="G58" s="50">
        <f>SUM(B58:F58)</f>
        <v>4099362.4799999995</v>
      </c>
    </row>
    <row r="59" spans="1:7" x14ac:dyDescent="0.3">
      <c r="A59" s="46" t="s">
        <v>1</v>
      </c>
      <c r="B59" s="59">
        <v>793537.39</v>
      </c>
      <c r="C59" s="59">
        <v>396768.69</v>
      </c>
      <c r="D59" s="59">
        <v>396768.69</v>
      </c>
      <c r="E59" s="59">
        <v>248.18</v>
      </c>
      <c r="F59" s="59">
        <v>395835.15</v>
      </c>
      <c r="G59" s="50">
        <f t="shared" ref="G59:G69" si="6">SUM(B59:F59)</f>
        <v>1983158.1</v>
      </c>
    </row>
    <row r="60" spans="1:7" x14ac:dyDescent="0.3">
      <c r="A60" s="46" t="s">
        <v>2</v>
      </c>
      <c r="B60" s="59">
        <v>596201.79</v>
      </c>
      <c r="C60" s="59">
        <v>298100.90000000002</v>
      </c>
      <c r="D60" s="59">
        <v>298100.90000000002</v>
      </c>
      <c r="E60" s="59">
        <v>679.47</v>
      </c>
      <c r="F60" s="59">
        <v>294989.96000000002</v>
      </c>
      <c r="G60" s="50">
        <f t="shared" si="6"/>
        <v>1488073.02</v>
      </c>
    </row>
    <row r="61" spans="1:7" x14ac:dyDescent="0.3">
      <c r="A61" s="46" t="s">
        <v>3</v>
      </c>
      <c r="B61" s="59">
        <v>512267.05</v>
      </c>
      <c r="C61" s="59">
        <v>256133.52</v>
      </c>
      <c r="D61" s="59">
        <v>256133.52</v>
      </c>
      <c r="E61" s="59">
        <v>0</v>
      </c>
      <c r="F61" s="59">
        <v>253173.88</v>
      </c>
      <c r="G61" s="50">
        <f t="shared" si="6"/>
        <v>1277707.97</v>
      </c>
    </row>
    <row r="62" spans="1:7" x14ac:dyDescent="0.3">
      <c r="A62" s="46" t="s">
        <v>4</v>
      </c>
      <c r="B62" s="59">
        <v>639643</v>
      </c>
      <c r="C62" s="59">
        <v>319821.5</v>
      </c>
      <c r="D62" s="59">
        <v>319821.5</v>
      </c>
      <c r="E62" s="59">
        <v>0</v>
      </c>
      <c r="F62" s="59">
        <v>319747.19</v>
      </c>
      <c r="G62" s="50">
        <f t="shared" si="6"/>
        <v>1599033.19</v>
      </c>
    </row>
    <row r="63" spans="1:7" x14ac:dyDescent="0.3">
      <c r="A63" s="46" t="s">
        <v>5</v>
      </c>
      <c r="B63" s="59">
        <v>1957997.59</v>
      </c>
      <c r="C63" s="59">
        <v>978998.8</v>
      </c>
      <c r="D63" s="59">
        <v>978998.8</v>
      </c>
      <c r="E63" s="59">
        <v>209.02</v>
      </c>
      <c r="F63" s="59">
        <v>978376.76</v>
      </c>
      <c r="G63" s="50">
        <f t="shared" si="6"/>
        <v>4894580.9700000007</v>
      </c>
    </row>
    <row r="64" spans="1:7" x14ac:dyDescent="0.3">
      <c r="A64" s="46" t="s">
        <v>6</v>
      </c>
      <c r="B64" s="59">
        <v>2235643.66</v>
      </c>
      <c r="C64" s="59">
        <v>1117821.82</v>
      </c>
      <c r="D64" s="59">
        <v>1117821.82</v>
      </c>
      <c r="E64" s="59">
        <v>209.02</v>
      </c>
      <c r="F64" s="59">
        <v>1117391.27</v>
      </c>
      <c r="G64" s="50">
        <f t="shared" si="6"/>
        <v>5588887.5899999999</v>
      </c>
    </row>
    <row r="65" spans="1:10" x14ac:dyDescent="0.3">
      <c r="A65" s="46" t="s">
        <v>7</v>
      </c>
      <c r="B65" s="59">
        <v>2333705.41</v>
      </c>
      <c r="C65" s="59">
        <v>1166852.71</v>
      </c>
      <c r="D65" s="59">
        <v>1166852.71</v>
      </c>
      <c r="E65" s="59">
        <v>209.02</v>
      </c>
      <c r="F65" s="59">
        <v>1163452.92</v>
      </c>
      <c r="G65" s="50">
        <f t="shared" si="6"/>
        <v>5831072.7699999996</v>
      </c>
    </row>
    <row r="66" spans="1:10" x14ac:dyDescent="0.3">
      <c r="A66" s="46" t="s">
        <v>8</v>
      </c>
      <c r="B66" s="59">
        <v>4473411.5</v>
      </c>
      <c r="C66" s="59">
        <v>2236705.7400000002</v>
      </c>
      <c r="D66" s="59">
        <v>2236705.7400000002</v>
      </c>
      <c r="E66" s="59">
        <v>97.78</v>
      </c>
      <c r="F66" s="59">
        <v>2235305.52</v>
      </c>
      <c r="G66" s="50">
        <f t="shared" si="6"/>
        <v>11182226.279999999</v>
      </c>
    </row>
    <row r="67" spans="1:10" x14ac:dyDescent="0.3">
      <c r="A67" s="46" t="s">
        <v>9</v>
      </c>
      <c r="B67" s="59">
        <v>4851415.1100000003</v>
      </c>
      <c r="C67" s="59">
        <v>2425707.56</v>
      </c>
      <c r="D67" s="59">
        <v>2425707.56</v>
      </c>
      <c r="E67" s="59">
        <v>205.67</v>
      </c>
      <c r="F67" s="59">
        <v>2422110.0699999998</v>
      </c>
      <c r="G67" s="50">
        <f t="shared" si="6"/>
        <v>12125145.970000001</v>
      </c>
    </row>
    <row r="68" spans="1:10" x14ac:dyDescent="0.3">
      <c r="A68" s="46" t="s">
        <v>10</v>
      </c>
      <c r="B68" s="59">
        <v>2176669.61</v>
      </c>
      <c r="C68" s="59">
        <v>1088334.81</v>
      </c>
      <c r="D68" s="59">
        <v>1088334.81</v>
      </c>
      <c r="E68" s="59">
        <v>903.2</v>
      </c>
      <c r="F68" s="59">
        <v>1079075.47</v>
      </c>
      <c r="G68" s="50">
        <f t="shared" si="6"/>
        <v>5433317.9000000004</v>
      </c>
    </row>
    <row r="69" spans="1:10" x14ac:dyDescent="0.3">
      <c r="A69" s="46" t="s">
        <v>11</v>
      </c>
      <c r="B69" s="59">
        <v>1807631.6</v>
      </c>
      <c r="C69" s="59">
        <v>903815.79</v>
      </c>
      <c r="D69" s="59">
        <v>903815.79</v>
      </c>
      <c r="E69" s="59">
        <v>142.62</v>
      </c>
      <c r="F69" s="59">
        <v>898688.31</v>
      </c>
      <c r="G69" s="50">
        <f t="shared" si="6"/>
        <v>4514094.1100000003</v>
      </c>
    </row>
    <row r="70" spans="1:10" ht="14.5" thickBot="1" x14ac:dyDescent="0.35">
      <c r="A70" s="53" t="s">
        <v>154</v>
      </c>
      <c r="B70" s="54">
        <f t="shared" ref="B70:G70" si="7">SUM(B58:B69)</f>
        <v>24017933.640000001</v>
      </c>
      <c r="C70" s="54">
        <f t="shared" si="7"/>
        <v>12008966.800000001</v>
      </c>
      <c r="D70" s="54">
        <f t="shared" si="7"/>
        <v>12008966.800000001</v>
      </c>
      <c r="E70" s="54">
        <f t="shared" si="7"/>
        <v>2949.21</v>
      </c>
      <c r="F70" s="54">
        <f t="shared" si="7"/>
        <v>11977843.9</v>
      </c>
      <c r="G70" s="54">
        <f t="shared" si="7"/>
        <v>60016660.349999994</v>
      </c>
    </row>
    <row r="71" spans="1:10" ht="14.5" thickTop="1" x14ac:dyDescent="0.3">
      <c r="I71" s="51"/>
      <c r="J71" s="51"/>
    </row>
    <row r="72" spans="1:10" ht="14.5" x14ac:dyDescent="0.35">
      <c r="A72" s="43"/>
      <c r="B72" s="44">
        <v>0.02</v>
      </c>
      <c r="C72" s="44">
        <v>0.03</v>
      </c>
      <c r="D72" s="44">
        <v>0.04</v>
      </c>
      <c r="E72" s="44">
        <v>4.4999999999999998E-2</v>
      </c>
      <c r="F72" s="44">
        <v>0.05</v>
      </c>
      <c r="G72" s="45"/>
      <c r="I72" s="62"/>
      <c r="J72" s="62"/>
    </row>
    <row r="73" spans="1:10" x14ac:dyDescent="0.3">
      <c r="A73" s="46"/>
      <c r="B73" s="47" t="s">
        <v>156</v>
      </c>
      <c r="C73" s="47" t="s">
        <v>157</v>
      </c>
      <c r="D73" s="47" t="s">
        <v>157</v>
      </c>
      <c r="E73" s="47" t="s">
        <v>158</v>
      </c>
      <c r="F73" s="47" t="s">
        <v>157</v>
      </c>
      <c r="G73" s="47" t="s">
        <v>159</v>
      </c>
    </row>
    <row r="74" spans="1:10" x14ac:dyDescent="0.3">
      <c r="A74" s="46" t="s">
        <v>0</v>
      </c>
      <c r="B74" s="59">
        <v>1547462.78</v>
      </c>
      <c r="C74" s="59">
        <v>773731.39</v>
      </c>
      <c r="D74" s="59">
        <v>773731.39</v>
      </c>
      <c r="E74" s="59">
        <v>0</v>
      </c>
      <c r="F74" s="59">
        <v>772815.96</v>
      </c>
      <c r="G74" s="50">
        <f>SUM(B74:F74)</f>
        <v>3867741.52</v>
      </c>
    </row>
    <row r="75" spans="1:10" x14ac:dyDescent="0.3">
      <c r="A75" s="46" t="s">
        <v>1</v>
      </c>
      <c r="B75" s="59">
        <v>846016.21</v>
      </c>
      <c r="C75" s="59">
        <v>423008.11</v>
      </c>
      <c r="D75" s="59">
        <v>423008.11</v>
      </c>
      <c r="E75" s="59">
        <v>0</v>
      </c>
      <c r="F75" s="59">
        <v>421410.65</v>
      </c>
      <c r="G75" s="50">
        <f t="shared" ref="G75:G85" si="8">SUM(B75:F75)</f>
        <v>2113443.0799999996</v>
      </c>
    </row>
    <row r="76" spans="1:10" x14ac:dyDescent="0.3">
      <c r="A76" s="46" t="s">
        <v>2</v>
      </c>
      <c r="B76" s="59">
        <v>651442.53</v>
      </c>
      <c r="C76" s="59">
        <v>325721.27</v>
      </c>
      <c r="D76" s="59">
        <v>325721.27</v>
      </c>
      <c r="E76" s="59">
        <v>962.42</v>
      </c>
      <c r="F76" s="59">
        <v>319147.64</v>
      </c>
      <c r="G76" s="50">
        <f t="shared" si="8"/>
        <v>1622995.13</v>
      </c>
    </row>
    <row r="77" spans="1:10" x14ac:dyDescent="0.3">
      <c r="A77" s="46" t="s">
        <v>3</v>
      </c>
      <c r="B77" s="57">
        <f>549618.42+(315.36*0.4)</f>
        <v>549744.56400000001</v>
      </c>
      <c r="C77" s="57">
        <f>274809.2+(315.36*0.2)</f>
        <v>274872.272</v>
      </c>
      <c r="D77" s="57">
        <f>274809.2+(315.36*0.2)</f>
        <v>274872.272</v>
      </c>
      <c r="E77" s="57">
        <v>152.13</v>
      </c>
      <c r="F77" s="57">
        <f>268346.44+(315.36*0.2)</f>
        <v>268409.51199999999</v>
      </c>
      <c r="G77" s="50">
        <f t="shared" si="8"/>
        <v>1368050.75</v>
      </c>
    </row>
    <row r="78" spans="1:10" x14ac:dyDescent="0.3">
      <c r="A78" s="46" t="s">
        <v>4</v>
      </c>
      <c r="B78" s="59">
        <v>597824.02</v>
      </c>
      <c r="C78" s="59">
        <v>298912.02</v>
      </c>
      <c r="D78" s="59">
        <v>298912.02</v>
      </c>
      <c r="E78" s="59">
        <v>0</v>
      </c>
      <c r="F78" s="59">
        <v>294400.94</v>
      </c>
      <c r="G78" s="50">
        <f t="shared" si="8"/>
        <v>1490049</v>
      </c>
    </row>
    <row r="79" spans="1:10" x14ac:dyDescent="0.3">
      <c r="A79" s="46" t="s">
        <v>5</v>
      </c>
      <c r="B79" s="59">
        <v>2254454.14</v>
      </c>
      <c r="C79" s="59">
        <v>1127227.08</v>
      </c>
      <c r="D79" s="59">
        <v>1127227.08</v>
      </c>
      <c r="E79" s="59">
        <v>0</v>
      </c>
      <c r="F79" s="59">
        <v>1126709.6499999999</v>
      </c>
      <c r="G79" s="50">
        <f t="shared" si="8"/>
        <v>5635617.9500000011</v>
      </c>
    </row>
    <row r="80" spans="1:10" x14ac:dyDescent="0.3">
      <c r="A80" s="46" t="s">
        <v>6</v>
      </c>
      <c r="B80" s="59">
        <v>1832670.37</v>
      </c>
      <c r="C80" s="59">
        <v>916335.18</v>
      </c>
      <c r="D80" s="59">
        <v>916335.18</v>
      </c>
      <c r="E80" s="59">
        <v>0</v>
      </c>
      <c r="F80" s="59">
        <v>916335.18</v>
      </c>
      <c r="G80" s="50">
        <f t="shared" si="8"/>
        <v>4581675.91</v>
      </c>
    </row>
    <row r="81" spans="1:9" x14ac:dyDescent="0.3">
      <c r="A81" s="46" t="s">
        <v>7</v>
      </c>
      <c r="B81" s="59">
        <v>2593171.92</v>
      </c>
      <c r="C81" s="59">
        <v>1296585.95</v>
      </c>
      <c r="D81" s="59">
        <v>1296585.95</v>
      </c>
      <c r="E81" s="59">
        <v>0</v>
      </c>
      <c r="F81" s="59">
        <v>1296585.95</v>
      </c>
      <c r="G81" s="50">
        <f t="shared" si="8"/>
        <v>6482929.7700000005</v>
      </c>
    </row>
    <row r="82" spans="1:9" x14ac:dyDescent="0.3">
      <c r="A82" s="46" t="s">
        <v>8</v>
      </c>
      <c r="B82" s="59">
        <v>4761009.47</v>
      </c>
      <c r="C82" s="59">
        <v>2380504.7400000002</v>
      </c>
      <c r="D82" s="59">
        <v>2380504.7400000002</v>
      </c>
      <c r="E82" s="59">
        <v>0</v>
      </c>
      <c r="F82" s="59">
        <v>2380504.7400000002</v>
      </c>
      <c r="G82" s="50">
        <f t="shared" si="8"/>
        <v>11902523.689999999</v>
      </c>
    </row>
    <row r="83" spans="1:9" x14ac:dyDescent="0.3">
      <c r="A83" s="46" t="s">
        <v>9</v>
      </c>
      <c r="B83" s="59">
        <v>4594612.99</v>
      </c>
      <c r="C83" s="59">
        <v>2297306.4900000002</v>
      </c>
      <c r="D83" s="59">
        <v>2297306.4900000002</v>
      </c>
      <c r="E83" s="59">
        <v>12.97</v>
      </c>
      <c r="F83" s="59">
        <v>2297061.12</v>
      </c>
      <c r="G83" s="50">
        <f t="shared" si="8"/>
        <v>11486300.060000002</v>
      </c>
    </row>
    <row r="84" spans="1:9" x14ac:dyDescent="0.3">
      <c r="A84" s="46" t="s">
        <v>10</v>
      </c>
      <c r="B84" s="59">
        <v>2271316.09</v>
      </c>
      <c r="C84" s="59">
        <v>1135658.05</v>
      </c>
      <c r="D84" s="59">
        <v>1135658.05</v>
      </c>
      <c r="E84" s="59">
        <v>0</v>
      </c>
      <c r="F84" s="59">
        <v>1134413.6000000001</v>
      </c>
      <c r="G84" s="50">
        <f t="shared" si="8"/>
        <v>5677045.7899999991</v>
      </c>
    </row>
    <row r="85" spans="1:9" x14ac:dyDescent="0.3">
      <c r="A85" s="46" t="s">
        <v>11</v>
      </c>
      <c r="B85" s="59">
        <v>1528063.52</v>
      </c>
      <c r="C85" s="59">
        <v>764031.76</v>
      </c>
      <c r="D85" s="59">
        <v>764031.76</v>
      </c>
      <c r="E85" s="59">
        <v>0</v>
      </c>
      <c r="F85" s="59">
        <v>761694.42</v>
      </c>
      <c r="G85" s="50">
        <f t="shared" si="8"/>
        <v>3817821.46</v>
      </c>
    </row>
    <row r="86" spans="1:9" ht="14.5" thickBot="1" x14ac:dyDescent="0.35">
      <c r="A86" s="53" t="s">
        <v>160</v>
      </c>
      <c r="B86" s="54">
        <f t="shared" ref="B86:G86" si="9">SUM(B74:B85)</f>
        <v>24027788.604000002</v>
      </c>
      <c r="C86" s="54">
        <f t="shared" si="9"/>
        <v>12013894.312000001</v>
      </c>
      <c r="D86" s="54">
        <f t="shared" si="9"/>
        <v>12013894.312000001</v>
      </c>
      <c r="E86" s="54">
        <f t="shared" si="9"/>
        <v>1127.52</v>
      </c>
      <c r="F86" s="54">
        <f t="shared" si="9"/>
        <v>11989489.362</v>
      </c>
      <c r="G86" s="54">
        <f t="shared" si="9"/>
        <v>60046194.110000007</v>
      </c>
      <c r="I86" s="51"/>
    </row>
    <row r="87" spans="1:9" ht="14.5" thickTop="1" x14ac:dyDescent="0.3"/>
    <row r="88" spans="1:9" ht="14.5" x14ac:dyDescent="0.35">
      <c r="A88" s="43"/>
      <c r="B88" s="44">
        <v>0.02</v>
      </c>
      <c r="C88" s="44">
        <v>0.03</v>
      </c>
      <c r="D88" s="44">
        <v>0.04</v>
      </c>
      <c r="E88" s="44">
        <v>4.4999999999999998E-2</v>
      </c>
      <c r="F88" s="44">
        <v>0.05</v>
      </c>
      <c r="G88" s="45"/>
    </row>
    <row r="89" spans="1:9" x14ac:dyDescent="0.3">
      <c r="A89" s="46"/>
      <c r="B89" s="47" t="s">
        <v>161</v>
      </c>
      <c r="C89" s="47" t="s">
        <v>162</v>
      </c>
      <c r="D89" s="47" t="s">
        <v>162</v>
      </c>
      <c r="E89" s="47" t="s">
        <v>163</v>
      </c>
      <c r="F89" s="47" t="s">
        <v>162</v>
      </c>
      <c r="G89" s="47" t="s">
        <v>164</v>
      </c>
    </row>
    <row r="90" spans="1:9" x14ac:dyDescent="0.3">
      <c r="A90" s="46" t="s">
        <v>0</v>
      </c>
      <c r="B90" s="59">
        <v>1632296.19</v>
      </c>
      <c r="C90" s="59">
        <v>816148.1</v>
      </c>
      <c r="D90" s="59">
        <v>816148.1</v>
      </c>
      <c r="E90" s="59">
        <v>876.49</v>
      </c>
      <c r="F90" s="59">
        <v>810705.14</v>
      </c>
      <c r="G90" s="50">
        <f>SUM(B90:F90)</f>
        <v>4076174.0200000005</v>
      </c>
    </row>
    <row r="91" spans="1:9" x14ac:dyDescent="0.3">
      <c r="A91" s="46" t="s">
        <v>1</v>
      </c>
      <c r="B91" s="59">
        <f>(1283362.6-8518.44+1649.9+5111.02+6847.32-54.83)*(2/5)</f>
        <v>515359.02800000005</v>
      </c>
      <c r="C91" s="59">
        <f>(1283362.6-8518.44+1649.9+5111.02+6847.32-54.83)*(1/5)</f>
        <v>257679.51400000002</v>
      </c>
      <c r="D91" s="59">
        <f>(1283362.6-8518.44+1649.9+5111.02+6847.32-54.83)*(1/5)</f>
        <v>257679.51400000002</v>
      </c>
      <c r="E91" s="59">
        <v>0</v>
      </c>
      <c r="F91" s="59">
        <f>(1283362.6-8518.44+1649.9+5111.02+6847.32-54.83)*(1/5)</f>
        <v>257679.51400000002</v>
      </c>
      <c r="G91" s="50">
        <f t="shared" ref="G91:G101" si="10">SUM(B91:F91)</f>
        <v>1288397.57</v>
      </c>
    </row>
    <row r="92" spans="1:9" x14ac:dyDescent="0.3">
      <c r="A92" s="46" t="s">
        <v>2</v>
      </c>
      <c r="B92" s="59">
        <v>659347.54800000007</v>
      </c>
      <c r="C92" s="59">
        <v>329673.77400000003</v>
      </c>
      <c r="D92" s="59">
        <v>329673.77400000003</v>
      </c>
      <c r="E92" s="59">
        <v>0</v>
      </c>
      <c r="F92" s="59">
        <v>329673.77400000003</v>
      </c>
      <c r="G92" s="50">
        <f t="shared" si="10"/>
        <v>1648368.87</v>
      </c>
    </row>
    <row r="93" spans="1:9" x14ac:dyDescent="0.3">
      <c r="A93" s="46" t="s">
        <v>3</v>
      </c>
      <c r="B93" s="59">
        <v>491268.92000000016</v>
      </c>
      <c r="C93" s="59">
        <v>245634.46000000008</v>
      </c>
      <c r="D93" s="59">
        <v>245634.46000000008</v>
      </c>
      <c r="E93" s="57">
        <v>0</v>
      </c>
      <c r="F93" s="59">
        <v>245634.46000000008</v>
      </c>
      <c r="G93" s="50">
        <f>SUM(B93:F93)</f>
        <v>1228172.3000000003</v>
      </c>
    </row>
    <row r="94" spans="1:9" x14ac:dyDescent="0.3">
      <c r="A94" s="46" t="s">
        <v>4</v>
      </c>
      <c r="B94" s="59">
        <f>1348249.45*(2/5)</f>
        <v>539299.78</v>
      </c>
      <c r="C94" s="59">
        <f>1348249.45*(1/5)</f>
        <v>269649.89</v>
      </c>
      <c r="D94" s="59">
        <f>1348249.45*(1/5)</f>
        <v>269649.89</v>
      </c>
      <c r="E94" s="59">
        <v>0</v>
      </c>
      <c r="F94" s="59">
        <f>1348249.45*(1/5)</f>
        <v>269649.89</v>
      </c>
      <c r="G94" s="50">
        <f t="shared" si="10"/>
        <v>1348249.4500000002</v>
      </c>
    </row>
    <row r="95" spans="1:9" x14ac:dyDescent="0.3">
      <c r="A95" s="46" t="s">
        <v>5</v>
      </c>
      <c r="B95" s="59">
        <f>5021168.15*(2/5)</f>
        <v>2008467.2600000002</v>
      </c>
      <c r="C95" s="59">
        <f>5021168.15*(1/5)</f>
        <v>1004233.6300000001</v>
      </c>
      <c r="D95" s="59">
        <f>5021168.15*(1/5)</f>
        <v>1004233.6300000001</v>
      </c>
      <c r="E95" s="59">
        <v>0</v>
      </c>
      <c r="F95" s="59">
        <f>5021168.15*(1/5)</f>
        <v>1004233.6300000001</v>
      </c>
      <c r="G95" s="50">
        <f t="shared" si="10"/>
        <v>5021168.1500000004</v>
      </c>
    </row>
    <row r="96" spans="1:9" x14ac:dyDescent="0.3">
      <c r="A96" s="46" t="s">
        <v>6</v>
      </c>
      <c r="B96" s="59">
        <f>5087751.55*(2/5)</f>
        <v>2035100.62</v>
      </c>
      <c r="C96" s="59">
        <f>5087751.55*(1/5)</f>
        <v>1017550.31</v>
      </c>
      <c r="D96" s="59">
        <f>5087751.55*(1/5)</f>
        <v>1017550.31</v>
      </c>
      <c r="E96" s="59">
        <v>0</v>
      </c>
      <c r="F96" s="59">
        <f>5087751.55*(1/5)</f>
        <v>1017550.31</v>
      </c>
      <c r="G96" s="50">
        <f>SUM(B96:F96)</f>
        <v>5087751.5500000007</v>
      </c>
    </row>
    <row r="97" spans="1:7" x14ac:dyDescent="0.3">
      <c r="A97" s="46" t="s">
        <v>7</v>
      </c>
      <c r="B97" s="59">
        <f>7191075.31*(2/5)</f>
        <v>2876430.1239999998</v>
      </c>
      <c r="C97" s="59">
        <f>7191075.31*(1/5)</f>
        <v>1438215.0619999999</v>
      </c>
      <c r="D97" s="59">
        <f>7191075.31*(1/5)</f>
        <v>1438215.0619999999</v>
      </c>
      <c r="E97" s="59">
        <v>0</v>
      </c>
      <c r="F97" s="59">
        <f>7191075.31*(1/5)</f>
        <v>1438215.0619999999</v>
      </c>
      <c r="G97" s="50">
        <f t="shared" si="10"/>
        <v>7191075.3099999996</v>
      </c>
    </row>
    <row r="98" spans="1:7" x14ac:dyDescent="0.3">
      <c r="A98" s="46" t="s">
        <v>8</v>
      </c>
      <c r="B98" s="59">
        <f>11127813*(2/5)</f>
        <v>4451125.2</v>
      </c>
      <c r="C98" s="59">
        <f>11127813*(1/5)</f>
        <v>2225562.6</v>
      </c>
      <c r="D98" s="59">
        <f>11127813*(1/5)</f>
        <v>2225562.6</v>
      </c>
      <c r="E98" s="59">
        <v>0</v>
      </c>
      <c r="F98" s="59">
        <f>11127813*(1/5)</f>
        <v>2225562.6</v>
      </c>
      <c r="G98" s="50">
        <f t="shared" si="10"/>
        <v>11127813</v>
      </c>
    </row>
    <row r="99" spans="1:7" x14ac:dyDescent="0.3">
      <c r="A99" s="46" t="s">
        <v>9</v>
      </c>
      <c r="B99" s="59">
        <f>12104946.04*(2/5)</f>
        <v>4841978.4160000002</v>
      </c>
      <c r="C99" s="59">
        <f>12104946.04*(1/5)</f>
        <v>2420989.2080000001</v>
      </c>
      <c r="D99" s="59">
        <f>12104946.04*(1/5)</f>
        <v>2420989.2080000001</v>
      </c>
      <c r="E99" s="59">
        <v>0</v>
      </c>
      <c r="F99" s="59">
        <f>12104946.04*(1/5)</f>
        <v>2420989.2080000001</v>
      </c>
      <c r="G99" s="50">
        <f t="shared" si="10"/>
        <v>12104946.040000001</v>
      </c>
    </row>
    <row r="100" spans="1:7" x14ac:dyDescent="0.3">
      <c r="A100" s="46" t="s">
        <v>10</v>
      </c>
      <c r="B100" s="59">
        <f>6248105.33*(2/5)</f>
        <v>2499242.1320000002</v>
      </c>
      <c r="C100" s="59">
        <f>6248105.33*(1/5)</f>
        <v>1249621.0660000001</v>
      </c>
      <c r="D100" s="59">
        <f>6248105.33*(1/5)</f>
        <v>1249621.0660000001</v>
      </c>
      <c r="E100" s="59">
        <v>0</v>
      </c>
      <c r="F100" s="59">
        <f>6248105.33*(1/5)</f>
        <v>1249621.0660000001</v>
      </c>
      <c r="G100" s="50">
        <f t="shared" si="10"/>
        <v>6248105.3300000001</v>
      </c>
    </row>
    <row r="101" spans="1:7" x14ac:dyDescent="0.3">
      <c r="A101" s="46" t="s">
        <v>11</v>
      </c>
      <c r="B101" s="59">
        <f>3622058.37*(2/5)</f>
        <v>1448823.3480000002</v>
      </c>
      <c r="C101" s="59">
        <f>3622058.37*(1/5)</f>
        <v>724411.67400000012</v>
      </c>
      <c r="D101" s="59">
        <f>3622058.37*(1/5)</f>
        <v>724411.67400000012</v>
      </c>
      <c r="E101" s="59">
        <v>0</v>
      </c>
      <c r="F101" s="59">
        <f>3622058.37*(1/5)</f>
        <v>724411.67400000012</v>
      </c>
      <c r="G101" s="50">
        <f t="shared" si="10"/>
        <v>3622058.3700000006</v>
      </c>
    </row>
    <row r="102" spans="1:7" ht="14.5" thickBot="1" x14ac:dyDescent="0.35">
      <c r="A102" s="53" t="s">
        <v>165</v>
      </c>
      <c r="B102" s="54">
        <f t="shared" ref="B102:G102" si="11">SUM(B90:B101)</f>
        <v>23998738.566</v>
      </c>
      <c r="C102" s="54">
        <f t="shared" si="11"/>
        <v>11999369.288000001</v>
      </c>
      <c r="D102" s="54">
        <f t="shared" si="11"/>
        <v>11999369.288000001</v>
      </c>
      <c r="E102" s="54">
        <f t="shared" si="11"/>
        <v>876.49</v>
      </c>
      <c r="F102" s="54">
        <f t="shared" si="11"/>
        <v>11993926.328000002</v>
      </c>
      <c r="G102" s="54">
        <f t="shared" si="11"/>
        <v>59992279.959999993</v>
      </c>
    </row>
    <row r="103" spans="1:7" ht="14.5" thickTop="1" x14ac:dyDescent="0.3"/>
    <row r="104" spans="1:7" ht="14.5" x14ac:dyDescent="0.35">
      <c r="A104" s="43"/>
      <c r="B104" s="44">
        <v>0.02</v>
      </c>
      <c r="C104" s="44">
        <v>0.03</v>
      </c>
      <c r="D104" s="44">
        <v>0.04</v>
      </c>
      <c r="E104" s="44">
        <v>4.4999999999999998E-2</v>
      </c>
      <c r="F104" s="44">
        <v>0.05</v>
      </c>
      <c r="G104" s="45"/>
    </row>
    <row r="105" spans="1:7" x14ac:dyDescent="0.3">
      <c r="A105" s="46"/>
      <c r="B105" s="47" t="s">
        <v>166</v>
      </c>
      <c r="C105" s="47" t="s">
        <v>167</v>
      </c>
      <c r="D105" s="47" t="s">
        <v>167</v>
      </c>
      <c r="E105" s="47" t="s">
        <v>168</v>
      </c>
      <c r="F105" s="47" t="s">
        <v>167</v>
      </c>
      <c r="G105" s="47" t="s">
        <v>169</v>
      </c>
    </row>
    <row r="106" spans="1:7" x14ac:dyDescent="0.3">
      <c r="A106" s="46" t="s">
        <v>0</v>
      </c>
      <c r="B106" s="59">
        <f>4506295.07*(2/5)</f>
        <v>1802518.0280000002</v>
      </c>
      <c r="C106" s="59">
        <f>4506295.07*(1/5)</f>
        <v>901259.01400000008</v>
      </c>
      <c r="D106" s="59">
        <f>4506295.07*(1/5)</f>
        <v>901259.01400000008</v>
      </c>
      <c r="E106" s="59">
        <v>0</v>
      </c>
      <c r="F106" s="59">
        <f>4506295.07*(1/5)</f>
        <v>901259.01400000008</v>
      </c>
      <c r="G106" s="50">
        <f>SUM(B106:F106)</f>
        <v>4506295.07</v>
      </c>
    </row>
    <row r="107" spans="1:7" x14ac:dyDescent="0.3">
      <c r="A107" s="46" t="s">
        <v>1</v>
      </c>
      <c r="B107" s="59">
        <f>(2191528.16)*(2/5)</f>
        <v>876611.26400000008</v>
      </c>
      <c r="C107" s="59">
        <f>(2191528.16)*(1/5)</f>
        <v>438305.63200000004</v>
      </c>
      <c r="D107" s="59">
        <f>(2191528.16)*(1/5)</f>
        <v>438305.63200000004</v>
      </c>
      <c r="E107" s="59">
        <v>0</v>
      </c>
      <c r="F107" s="59">
        <v>438305.63</v>
      </c>
      <c r="G107" s="50">
        <f t="shared" ref="G107:G108" si="12">SUM(B107:F107)</f>
        <v>2191528.1580000003</v>
      </c>
    </row>
    <row r="108" spans="1:7" x14ac:dyDescent="0.3">
      <c r="A108" s="46" t="s">
        <v>2</v>
      </c>
      <c r="B108" s="59">
        <f>1439394.27*(2/5)</f>
        <v>575757.70799999998</v>
      </c>
      <c r="C108" s="59">
        <f>1439394.27*(1/5)</f>
        <v>287878.85399999999</v>
      </c>
      <c r="D108" s="59">
        <f>1439394.27*(1/5)</f>
        <v>287878.85399999999</v>
      </c>
      <c r="E108" s="59">
        <v>0</v>
      </c>
      <c r="F108" s="59">
        <f>1439394.27*(1/5)</f>
        <v>287878.85399999999</v>
      </c>
      <c r="G108" s="50">
        <f t="shared" si="12"/>
        <v>1439394.27</v>
      </c>
    </row>
    <row r="109" spans="1:7" x14ac:dyDescent="0.3">
      <c r="A109" s="46" t="s">
        <v>3</v>
      </c>
      <c r="B109" s="59">
        <f>1323370.61*(2/5)</f>
        <v>529348.24400000006</v>
      </c>
      <c r="C109" s="59">
        <f>1323370.61*(1/5)</f>
        <v>264674.12200000003</v>
      </c>
      <c r="D109" s="59">
        <f>1323370.61*(1/5)</f>
        <v>264674.12200000003</v>
      </c>
      <c r="E109" s="59">
        <v>0</v>
      </c>
      <c r="F109" s="59">
        <f>1323370.61*(1/5)</f>
        <v>264674.12200000003</v>
      </c>
      <c r="G109" s="50">
        <f>SUM(B109:F109)</f>
        <v>1323370.6100000001</v>
      </c>
    </row>
    <row r="110" spans="1:7" x14ac:dyDescent="0.3">
      <c r="A110" s="46" t="s">
        <v>4</v>
      </c>
      <c r="B110" s="59"/>
      <c r="C110" s="59"/>
      <c r="D110" s="59"/>
      <c r="E110" s="59">
        <v>0</v>
      </c>
      <c r="F110" s="59"/>
      <c r="G110" s="50">
        <f t="shared" ref="G110:G111" si="13">SUM(B110:F110)</f>
        <v>0</v>
      </c>
    </row>
    <row r="111" spans="1:7" x14ac:dyDescent="0.3">
      <c r="A111" s="46" t="s">
        <v>5</v>
      </c>
      <c r="B111" s="59"/>
      <c r="C111" s="59"/>
      <c r="D111" s="59"/>
      <c r="E111" s="59">
        <v>0</v>
      </c>
      <c r="F111" s="59"/>
      <c r="G111" s="50">
        <f t="shared" si="13"/>
        <v>0</v>
      </c>
    </row>
    <row r="112" spans="1:7" x14ac:dyDescent="0.3">
      <c r="A112" s="46" t="s">
        <v>6</v>
      </c>
      <c r="B112" s="59"/>
      <c r="C112" s="59"/>
      <c r="D112" s="59"/>
      <c r="E112" s="59">
        <v>0</v>
      </c>
      <c r="F112" s="59"/>
      <c r="G112" s="50">
        <f>SUM(B112:F112)</f>
        <v>0</v>
      </c>
    </row>
    <row r="113" spans="1:7" x14ac:dyDescent="0.3">
      <c r="A113" s="46" t="s">
        <v>7</v>
      </c>
      <c r="B113" s="59"/>
      <c r="C113" s="59"/>
      <c r="D113" s="59"/>
      <c r="E113" s="59">
        <v>0</v>
      </c>
      <c r="F113" s="59"/>
      <c r="G113" s="50">
        <f t="shared" ref="G113:G117" si="14">SUM(B113:F113)</f>
        <v>0</v>
      </c>
    </row>
    <row r="114" spans="1:7" x14ac:dyDescent="0.3">
      <c r="A114" s="46" t="s">
        <v>8</v>
      </c>
      <c r="B114" s="59"/>
      <c r="C114" s="59"/>
      <c r="D114" s="59"/>
      <c r="E114" s="59">
        <v>0</v>
      </c>
      <c r="F114" s="59"/>
      <c r="G114" s="50">
        <f t="shared" si="14"/>
        <v>0</v>
      </c>
    </row>
    <row r="115" spans="1:7" x14ac:dyDescent="0.3">
      <c r="A115" s="46" t="s">
        <v>9</v>
      </c>
      <c r="B115" s="59"/>
      <c r="C115" s="59"/>
      <c r="D115" s="59"/>
      <c r="E115" s="59">
        <v>0</v>
      </c>
      <c r="F115" s="59"/>
      <c r="G115" s="50">
        <f t="shared" si="14"/>
        <v>0</v>
      </c>
    </row>
    <row r="116" spans="1:7" x14ac:dyDescent="0.3">
      <c r="A116" s="46" t="s">
        <v>10</v>
      </c>
      <c r="B116" s="59"/>
      <c r="C116" s="59"/>
      <c r="D116" s="59"/>
      <c r="E116" s="59">
        <v>0</v>
      </c>
      <c r="F116" s="59"/>
      <c r="G116" s="50">
        <f t="shared" si="14"/>
        <v>0</v>
      </c>
    </row>
    <row r="117" spans="1:7" x14ac:dyDescent="0.3">
      <c r="A117" s="46" t="s">
        <v>11</v>
      </c>
      <c r="B117" s="59"/>
      <c r="C117" s="59"/>
      <c r="D117" s="59"/>
      <c r="E117" s="59">
        <v>0</v>
      </c>
      <c r="F117" s="59"/>
      <c r="G117" s="50">
        <f t="shared" si="14"/>
        <v>0</v>
      </c>
    </row>
    <row r="118" spans="1:7" ht="14.5" thickBot="1" x14ac:dyDescent="0.35">
      <c r="A118" s="53" t="s">
        <v>170</v>
      </c>
      <c r="B118" s="54">
        <f t="shared" ref="B118:G118" si="15">SUM(B106:B117)</f>
        <v>3784235.2440000004</v>
      </c>
      <c r="C118" s="54">
        <f t="shared" si="15"/>
        <v>1892117.6220000002</v>
      </c>
      <c r="D118" s="54">
        <f t="shared" si="15"/>
        <v>1892117.6220000002</v>
      </c>
      <c r="E118" s="54">
        <f t="shared" si="15"/>
        <v>0</v>
      </c>
      <c r="F118" s="54">
        <f t="shared" si="15"/>
        <v>1892117.62</v>
      </c>
      <c r="G118" s="54">
        <f t="shared" si="15"/>
        <v>9460588.1079999991</v>
      </c>
    </row>
    <row r="119" spans="1:7" ht="14.5" thickTop="1" x14ac:dyDescent="0.3"/>
  </sheetData>
  <sheetProtection algorithmName="SHA-512" hashValue="Ms+0hOju5LvT2mLOQ6m0wsXXDMVVjn8YINfpJ+Ax1KpVYlBDyAZmCWRPhCx6ZoaTku8pLIwY7XTPK1YrVgC3Sg==" saltValue="Z6SPNYzMhYi4Eq7awdhvcA==" spinCount="100000" sheet="1" objects="1" scenarios="1"/>
  <mergeCells count="1">
    <mergeCell ref="A5:G6"/>
  </mergeCells>
  <pageMargins left="0.7" right="0.7" top="0.75" bottom="0.75" header="0.3" footer="0.3"/>
  <pageSetup orientation="portrait" r:id="rId1"/>
  <headerFooter alignWithMargins="0"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2"/>
  <sheetViews>
    <sheetView topLeftCell="A55" zoomScaleNormal="100" workbookViewId="0">
      <selection activeCell="E37" sqref="E37"/>
    </sheetView>
  </sheetViews>
  <sheetFormatPr defaultColWidth="9.1796875" defaultRowHeight="14" x14ac:dyDescent="0.3"/>
  <cols>
    <col min="1" max="1" width="14.81640625" style="39" customWidth="1"/>
    <col min="2" max="2" width="16.7265625" style="40" bestFit="1" customWidth="1"/>
    <col min="3" max="4" width="15.54296875" style="40" bestFit="1" customWidth="1"/>
    <col min="5" max="5" width="14.26953125" style="40" bestFit="1" customWidth="1"/>
    <col min="6" max="6" width="16.7265625" style="40" bestFit="1" customWidth="1"/>
    <col min="7" max="7" width="13.81640625" style="41" bestFit="1" customWidth="1"/>
    <col min="8" max="8" width="7.81640625" style="41" bestFit="1" customWidth="1"/>
    <col min="9" max="9" width="16.54296875" style="41" customWidth="1"/>
    <col min="10" max="16384" width="9.1796875" style="41"/>
  </cols>
  <sheetData>
    <row r="1" spans="1:8" x14ac:dyDescent="0.3">
      <c r="A1" s="39" t="s">
        <v>13</v>
      </c>
    </row>
    <row r="2" spans="1:8" x14ac:dyDescent="0.3">
      <c r="A2" s="39" t="s">
        <v>141</v>
      </c>
    </row>
    <row r="3" spans="1:8" ht="14.5" x14ac:dyDescent="0.35">
      <c r="A3" s="42" t="s">
        <v>86</v>
      </c>
    </row>
    <row r="5" spans="1:8" x14ac:dyDescent="0.3">
      <c r="A5" s="125" t="s">
        <v>57</v>
      </c>
      <c r="B5" s="125"/>
      <c r="C5" s="125"/>
      <c r="D5" s="125"/>
      <c r="E5" s="125"/>
      <c r="F5" s="125"/>
    </row>
    <row r="6" spans="1:8" x14ac:dyDescent="0.3">
      <c r="A6" s="125"/>
      <c r="B6" s="125"/>
      <c r="C6" s="125"/>
      <c r="D6" s="125"/>
      <c r="E6" s="125"/>
      <c r="F6" s="125"/>
    </row>
    <row r="8" spans="1:8" s="43" customFormat="1" ht="14.5" x14ac:dyDescent="0.35">
      <c r="B8" s="44">
        <v>0.02</v>
      </c>
      <c r="C8" s="44">
        <v>0.03</v>
      </c>
      <c r="D8" s="44">
        <v>0.04</v>
      </c>
      <c r="E8" s="44">
        <v>4.4999999999999998E-2</v>
      </c>
      <c r="F8" s="45"/>
    </row>
    <row r="9" spans="1:8" ht="15.75" customHeight="1" x14ac:dyDescent="0.3">
      <c r="A9" s="46"/>
      <c r="B9" s="47" t="s">
        <v>60</v>
      </c>
      <c r="C9" s="47" t="s">
        <v>61</v>
      </c>
      <c r="D9" s="47" t="s">
        <v>61</v>
      </c>
      <c r="E9" s="47" t="s">
        <v>62</v>
      </c>
      <c r="F9" s="47" t="s">
        <v>63</v>
      </c>
    </row>
    <row r="10" spans="1:8" x14ac:dyDescent="0.3">
      <c r="A10" s="46" t="s">
        <v>0</v>
      </c>
      <c r="B10" s="55">
        <v>480566.06</v>
      </c>
      <c r="C10" s="55">
        <v>240283.04</v>
      </c>
      <c r="D10" s="55">
        <v>240283.04</v>
      </c>
      <c r="E10" s="55">
        <v>7927.4</v>
      </c>
      <c r="F10" s="50">
        <f t="shared" ref="F10:F15" si="0">SUM(B10:E10)</f>
        <v>969059.54</v>
      </c>
    </row>
    <row r="11" spans="1:8" x14ac:dyDescent="0.3">
      <c r="A11" s="46" t="s">
        <v>1</v>
      </c>
      <c r="B11" s="50">
        <v>244704.04</v>
      </c>
      <c r="C11" s="50">
        <v>122352.02</v>
      </c>
      <c r="D11" s="50">
        <v>122352.02</v>
      </c>
      <c r="E11" s="50">
        <v>3677.11</v>
      </c>
      <c r="F11" s="50">
        <f t="shared" si="0"/>
        <v>493085.19</v>
      </c>
    </row>
    <row r="12" spans="1:8" x14ac:dyDescent="0.3">
      <c r="A12" s="46" t="s">
        <v>2</v>
      </c>
      <c r="B12" s="56">
        <v>236504.66</v>
      </c>
      <c r="C12" s="56">
        <v>118252.32</v>
      </c>
      <c r="D12" s="56">
        <v>118252.32</v>
      </c>
      <c r="E12" s="56">
        <v>2513.7600000000002</v>
      </c>
      <c r="F12" s="50">
        <f t="shared" si="0"/>
        <v>475523.06</v>
      </c>
    </row>
    <row r="13" spans="1:8" x14ac:dyDescent="0.3">
      <c r="A13" s="46" t="s">
        <v>3</v>
      </c>
      <c r="B13" s="57">
        <v>212247.87</v>
      </c>
      <c r="C13" s="57">
        <v>106123.94</v>
      </c>
      <c r="D13" s="57">
        <v>106123.94</v>
      </c>
      <c r="E13" s="50">
        <v>1243.68</v>
      </c>
      <c r="F13" s="50">
        <f t="shared" si="0"/>
        <v>425739.43</v>
      </c>
    </row>
    <row r="14" spans="1:8" x14ac:dyDescent="0.3">
      <c r="A14" s="46" t="s">
        <v>4</v>
      </c>
      <c r="B14" s="57">
        <v>251463</v>
      </c>
      <c r="C14" s="50">
        <v>125731.51</v>
      </c>
      <c r="D14" s="50">
        <v>125731.51</v>
      </c>
      <c r="E14" s="50">
        <v>2224.6999999999998</v>
      </c>
      <c r="F14" s="50">
        <f t="shared" si="0"/>
        <v>505150.72000000003</v>
      </c>
      <c r="G14" s="51"/>
      <c r="H14" s="58"/>
    </row>
    <row r="15" spans="1:8" x14ac:dyDescent="0.3">
      <c r="A15" s="46" t="s">
        <v>5</v>
      </c>
      <c r="B15" s="57">
        <v>745287.88</v>
      </c>
      <c r="C15" s="57">
        <v>372643.94</v>
      </c>
      <c r="D15" s="50">
        <v>372643.94</v>
      </c>
      <c r="E15" s="50">
        <v>363.85</v>
      </c>
      <c r="F15" s="50">
        <f t="shared" si="0"/>
        <v>1490939.61</v>
      </c>
    </row>
    <row r="16" spans="1:8" x14ac:dyDescent="0.3">
      <c r="A16" s="46" t="s">
        <v>6</v>
      </c>
      <c r="B16" s="59">
        <v>756598.59</v>
      </c>
      <c r="C16" s="59">
        <v>378299.29</v>
      </c>
      <c r="D16" s="60">
        <v>378299.29</v>
      </c>
      <c r="E16" s="60">
        <v>1376.02</v>
      </c>
      <c r="F16" s="50">
        <f t="shared" ref="F16:F21" si="1">SUM(B16:E16)</f>
        <v>1514573.19</v>
      </c>
    </row>
    <row r="17" spans="1:9" x14ac:dyDescent="0.3">
      <c r="A17" s="46" t="s">
        <v>7</v>
      </c>
      <c r="B17" s="59">
        <v>1006647.78</v>
      </c>
      <c r="C17" s="59">
        <v>503323.89</v>
      </c>
      <c r="D17" s="60">
        <v>503323.89</v>
      </c>
      <c r="E17" s="60">
        <v>2754.16</v>
      </c>
      <c r="F17" s="50">
        <f t="shared" si="1"/>
        <v>2016049.72</v>
      </c>
    </row>
    <row r="18" spans="1:9" x14ac:dyDescent="0.3">
      <c r="A18" s="46" t="s">
        <v>8</v>
      </c>
      <c r="B18" s="57">
        <v>1838240.71</v>
      </c>
      <c r="C18" s="57">
        <v>919120.35</v>
      </c>
      <c r="D18" s="50">
        <v>919120.35</v>
      </c>
      <c r="E18" s="50">
        <v>1203.0899999999999</v>
      </c>
      <c r="F18" s="50">
        <f t="shared" si="1"/>
        <v>3677684.5</v>
      </c>
    </row>
    <row r="19" spans="1:9" x14ac:dyDescent="0.3">
      <c r="A19" s="46" t="s">
        <v>9</v>
      </c>
      <c r="B19" s="50">
        <v>2197315.63</v>
      </c>
      <c r="C19" s="50">
        <v>1098657.82</v>
      </c>
      <c r="D19" s="50">
        <v>1098657.82</v>
      </c>
      <c r="E19" s="50">
        <v>674.51</v>
      </c>
      <c r="F19" s="50">
        <f>SUM(B19:E19)</f>
        <v>4395305.78</v>
      </c>
    </row>
    <row r="20" spans="1:9" x14ac:dyDescent="0.3">
      <c r="A20" s="46" t="s">
        <v>10</v>
      </c>
      <c r="B20" s="50">
        <v>1124446.54</v>
      </c>
      <c r="C20" s="50">
        <v>562223.28</v>
      </c>
      <c r="D20" s="50">
        <v>562223.28</v>
      </c>
      <c r="E20" s="50">
        <v>2266.96</v>
      </c>
      <c r="F20" s="50">
        <f t="shared" si="1"/>
        <v>2251160.06</v>
      </c>
    </row>
    <row r="21" spans="1:9" x14ac:dyDescent="0.3">
      <c r="A21" s="46" t="s">
        <v>11</v>
      </c>
      <c r="B21" s="50">
        <v>964406.11</v>
      </c>
      <c r="C21" s="50">
        <v>482203.06</v>
      </c>
      <c r="D21" s="50">
        <v>482203.06</v>
      </c>
      <c r="E21" s="50">
        <v>3590.93</v>
      </c>
      <c r="F21" s="50">
        <f t="shared" si="1"/>
        <v>1932403.16</v>
      </c>
    </row>
    <row r="22" spans="1:9" ht="14.5" thickBot="1" x14ac:dyDescent="0.35">
      <c r="A22" s="53" t="s">
        <v>63</v>
      </c>
      <c r="B22" s="54">
        <f>SUM(B10:B21)</f>
        <v>10058428.869999999</v>
      </c>
      <c r="C22" s="54">
        <f>SUM(C10:C21)</f>
        <v>5029214.46</v>
      </c>
      <c r="D22" s="54">
        <f>SUM(D10:D21)</f>
        <v>5029214.46</v>
      </c>
      <c r="E22" s="54">
        <f>SUM(E10:E21)</f>
        <v>29816.17</v>
      </c>
      <c r="F22" s="54">
        <f>SUM(F10:F21)</f>
        <v>20146673.960000001</v>
      </c>
    </row>
    <row r="23" spans="1:9" ht="14.5" thickTop="1" x14ac:dyDescent="0.3"/>
    <row r="24" spans="1:9" ht="14.5" x14ac:dyDescent="0.35">
      <c r="A24" s="43"/>
      <c r="B24" s="44">
        <v>0.02</v>
      </c>
      <c r="C24" s="44">
        <v>0.03</v>
      </c>
      <c r="D24" s="44">
        <v>0.04</v>
      </c>
      <c r="E24" s="44">
        <v>4.4999999999999998E-2</v>
      </c>
      <c r="F24" s="45"/>
    </row>
    <row r="25" spans="1:9" ht="15.75" customHeight="1" x14ac:dyDescent="0.3">
      <c r="A25" s="46"/>
      <c r="B25" s="47" t="s">
        <v>64</v>
      </c>
      <c r="C25" s="47" t="s">
        <v>65</v>
      </c>
      <c r="D25" s="47" t="s">
        <v>65</v>
      </c>
      <c r="E25" s="47" t="s">
        <v>66</v>
      </c>
      <c r="F25" s="47" t="s">
        <v>67</v>
      </c>
    </row>
    <row r="26" spans="1:9" x14ac:dyDescent="0.3">
      <c r="A26" s="46" t="s">
        <v>0</v>
      </c>
      <c r="B26" s="55">
        <v>558200.31000000006</v>
      </c>
      <c r="C26" s="55">
        <v>279100.15000000002</v>
      </c>
      <c r="D26" s="55">
        <v>279100.15000000002</v>
      </c>
      <c r="E26" s="55">
        <v>368.52</v>
      </c>
      <c r="F26" s="50">
        <f t="shared" ref="F26:F34" si="2">SUM(B26:E26)</f>
        <v>1116769.1300000001</v>
      </c>
    </row>
    <row r="27" spans="1:9" x14ac:dyDescent="0.3">
      <c r="A27" s="46" t="s">
        <v>1</v>
      </c>
      <c r="B27" s="50">
        <v>282897.56</v>
      </c>
      <c r="C27" s="50">
        <v>141448.76999999999</v>
      </c>
      <c r="D27" s="50">
        <v>141448.76999999999</v>
      </c>
      <c r="E27" s="50">
        <v>323.3</v>
      </c>
      <c r="F27" s="50">
        <f t="shared" si="2"/>
        <v>566118.40000000002</v>
      </c>
      <c r="H27" s="61"/>
      <c r="I27" s="41" t="s">
        <v>59</v>
      </c>
    </row>
    <row r="28" spans="1:9" x14ac:dyDescent="0.3">
      <c r="A28" s="46" t="s">
        <v>2</v>
      </c>
      <c r="B28" s="56">
        <v>266680.05</v>
      </c>
      <c r="C28" s="56">
        <v>133340.03</v>
      </c>
      <c r="D28" s="56">
        <v>133340.03</v>
      </c>
      <c r="E28" s="56">
        <v>688.3</v>
      </c>
      <c r="F28" s="50">
        <f t="shared" si="2"/>
        <v>534048.41</v>
      </c>
      <c r="H28" s="61"/>
      <c r="I28" s="41" t="s">
        <v>59</v>
      </c>
    </row>
    <row r="29" spans="1:9" x14ac:dyDescent="0.3">
      <c r="A29" s="46" t="s">
        <v>3</v>
      </c>
      <c r="B29" s="57">
        <v>219771.69</v>
      </c>
      <c r="C29" s="57">
        <v>109885.85</v>
      </c>
      <c r="D29" s="57">
        <v>109885.85</v>
      </c>
      <c r="E29" s="50">
        <v>170.57</v>
      </c>
      <c r="F29" s="50">
        <f t="shared" si="2"/>
        <v>439713.96</v>
      </c>
      <c r="H29" s="61"/>
      <c r="I29" s="41" t="s">
        <v>59</v>
      </c>
    </row>
    <row r="30" spans="1:9" x14ac:dyDescent="0.3">
      <c r="A30" s="46" t="s">
        <v>4</v>
      </c>
      <c r="B30" s="57">
        <v>271236.27</v>
      </c>
      <c r="C30" s="50">
        <v>135618.13</v>
      </c>
      <c r="D30" s="50">
        <v>135618.13</v>
      </c>
      <c r="E30" s="50">
        <v>359.96</v>
      </c>
      <c r="F30" s="50">
        <f t="shared" si="2"/>
        <v>542832.49</v>
      </c>
      <c r="G30" s="51"/>
      <c r="H30" s="62"/>
      <c r="I30" s="41" t="s">
        <v>59</v>
      </c>
    </row>
    <row r="31" spans="1:9" x14ac:dyDescent="0.3">
      <c r="A31" s="46" t="s">
        <v>5</v>
      </c>
      <c r="B31" s="57">
        <v>886194.76</v>
      </c>
      <c r="C31" s="57">
        <v>443097.37</v>
      </c>
      <c r="D31" s="50">
        <v>443097.37</v>
      </c>
      <c r="E31" s="50">
        <v>566.5</v>
      </c>
      <c r="F31" s="50">
        <f t="shared" si="2"/>
        <v>1772956</v>
      </c>
    </row>
    <row r="32" spans="1:9" x14ac:dyDescent="0.3">
      <c r="A32" s="46" t="s">
        <v>6</v>
      </c>
      <c r="B32" s="59">
        <v>803299.03</v>
      </c>
      <c r="C32" s="59">
        <v>401649.51</v>
      </c>
      <c r="D32" s="60">
        <v>401649.51</v>
      </c>
      <c r="E32" s="60">
        <v>108.77</v>
      </c>
      <c r="F32" s="50">
        <f t="shared" si="2"/>
        <v>1606706.82</v>
      </c>
    </row>
    <row r="33" spans="1:8" x14ac:dyDescent="0.3">
      <c r="A33" s="46" t="s">
        <v>7</v>
      </c>
      <c r="B33" s="59">
        <v>1035563.05</v>
      </c>
      <c r="C33" s="59">
        <v>517781.53</v>
      </c>
      <c r="D33" s="60">
        <v>517781.53</v>
      </c>
      <c r="E33" s="60">
        <v>229.14</v>
      </c>
      <c r="F33" s="50">
        <f t="shared" si="2"/>
        <v>2071355.25</v>
      </c>
    </row>
    <row r="34" spans="1:8" x14ac:dyDescent="0.3">
      <c r="A34" s="46" t="s">
        <v>8</v>
      </c>
      <c r="B34" s="57">
        <v>2087895.3</v>
      </c>
      <c r="C34" s="57">
        <v>1043947.66</v>
      </c>
      <c r="D34" s="50">
        <v>1043947.66</v>
      </c>
      <c r="E34" s="50">
        <v>373.83</v>
      </c>
      <c r="F34" s="50">
        <f t="shared" si="2"/>
        <v>4176164.45</v>
      </c>
    </row>
    <row r="35" spans="1:8" x14ac:dyDescent="0.3">
      <c r="A35" s="46" t="s">
        <v>9</v>
      </c>
      <c r="B35" s="50">
        <v>2462734.59</v>
      </c>
      <c r="C35" s="50">
        <v>1231367.3</v>
      </c>
      <c r="D35" s="50">
        <v>1231367.3</v>
      </c>
      <c r="E35" s="50">
        <v>111.11</v>
      </c>
      <c r="F35" s="50">
        <f>SUM(B35:E35)</f>
        <v>4925580.3</v>
      </c>
    </row>
    <row r="36" spans="1:8" x14ac:dyDescent="0.3">
      <c r="A36" s="46" t="s">
        <v>10</v>
      </c>
      <c r="B36" s="50">
        <v>1052389.99</v>
      </c>
      <c r="C36" s="50">
        <v>526194.99</v>
      </c>
      <c r="D36" s="50">
        <v>526194.99</v>
      </c>
      <c r="E36" s="50">
        <v>303.75</v>
      </c>
      <c r="F36" s="50">
        <f>SUM(B36:E36)</f>
        <v>2105083.7199999997</v>
      </c>
    </row>
    <row r="37" spans="1:8" x14ac:dyDescent="0.3">
      <c r="A37" s="46" t="s">
        <v>11</v>
      </c>
      <c r="B37" s="50">
        <v>948775.44</v>
      </c>
      <c r="C37" s="50">
        <v>474387.71</v>
      </c>
      <c r="D37" s="50">
        <v>474387.71</v>
      </c>
      <c r="E37" s="50"/>
      <c r="F37" s="50">
        <f>SUM(B37:E37)</f>
        <v>1897550.8599999999</v>
      </c>
    </row>
    <row r="38" spans="1:8" ht="14.5" thickBot="1" x14ac:dyDescent="0.35">
      <c r="A38" s="53" t="s">
        <v>67</v>
      </c>
      <c r="B38" s="54">
        <f>SUM(B26:B37)</f>
        <v>10875638.039999999</v>
      </c>
      <c r="C38" s="54">
        <f>SUM(C26:C37)</f>
        <v>5437819</v>
      </c>
      <c r="D38" s="54">
        <f>SUM(D26:D37)</f>
        <v>5437819</v>
      </c>
      <c r="E38" s="54">
        <f>SUM(E26:E37)</f>
        <v>3603.7499999999995</v>
      </c>
      <c r="F38" s="54">
        <f>SUM(F26:F37)</f>
        <v>21754879.789999999</v>
      </c>
    </row>
    <row r="39" spans="1:8" ht="14.5" thickTop="1" x14ac:dyDescent="0.3"/>
    <row r="40" spans="1:8" ht="14.5" x14ac:dyDescent="0.35">
      <c r="A40" s="43"/>
      <c r="B40" s="44">
        <v>0.02</v>
      </c>
      <c r="C40" s="44">
        <v>0.03</v>
      </c>
      <c r="D40" s="44">
        <v>0.04</v>
      </c>
      <c r="E40" s="44">
        <v>4.4999999999999998E-2</v>
      </c>
      <c r="F40" s="45"/>
    </row>
    <row r="41" spans="1:8" ht="15.75" customHeight="1" x14ac:dyDescent="0.3">
      <c r="A41" s="46"/>
      <c r="B41" s="47" t="s">
        <v>68</v>
      </c>
      <c r="C41" s="47" t="s">
        <v>69</v>
      </c>
      <c r="D41" s="47" t="s">
        <v>69</v>
      </c>
      <c r="E41" s="47" t="s">
        <v>70</v>
      </c>
      <c r="F41" s="47" t="s">
        <v>71</v>
      </c>
    </row>
    <row r="42" spans="1:8" x14ac:dyDescent="0.3">
      <c r="A42" s="46" t="s">
        <v>0</v>
      </c>
      <c r="B42" s="55">
        <v>692011.9</v>
      </c>
      <c r="C42" s="55">
        <v>346005.95</v>
      </c>
      <c r="D42" s="55">
        <v>346005.95</v>
      </c>
      <c r="E42" s="55">
        <v>130.47</v>
      </c>
      <c r="F42" s="50">
        <f>SUM(B42:E42)</f>
        <v>1384154.27</v>
      </c>
    </row>
    <row r="43" spans="1:8" x14ac:dyDescent="0.3">
      <c r="A43" s="46" t="s">
        <v>1</v>
      </c>
      <c r="B43" s="63">
        <v>327140.26</v>
      </c>
      <c r="C43" s="63">
        <v>163570.12</v>
      </c>
      <c r="D43" s="63">
        <v>163570.12</v>
      </c>
      <c r="E43" s="50">
        <v>230.07</v>
      </c>
      <c r="F43" s="50">
        <f>SUM(B43:E43)</f>
        <v>654510.56999999995</v>
      </c>
    </row>
    <row r="44" spans="1:8" x14ac:dyDescent="0.3">
      <c r="A44" s="46" t="s">
        <v>2</v>
      </c>
      <c r="B44" s="56">
        <v>280692.63</v>
      </c>
      <c r="C44" s="56">
        <v>140346.32</v>
      </c>
      <c r="D44" s="56">
        <v>140346.32</v>
      </c>
      <c r="E44" s="56">
        <v>51.06</v>
      </c>
      <c r="F44" s="50">
        <f>SUM(B44:E44)</f>
        <v>561436.33000000007</v>
      </c>
    </row>
    <row r="45" spans="1:8" x14ac:dyDescent="0.3">
      <c r="A45" s="46" t="s">
        <v>3</v>
      </c>
      <c r="B45" s="57">
        <v>228864.33</v>
      </c>
      <c r="C45" s="57">
        <v>114432.16</v>
      </c>
      <c r="D45" s="57">
        <v>114432.16</v>
      </c>
      <c r="E45" s="50">
        <v>51.06</v>
      </c>
      <c r="F45" s="50">
        <f>SUM(B45:E45)</f>
        <v>457779.71</v>
      </c>
    </row>
    <row r="46" spans="1:8" x14ac:dyDescent="0.3">
      <c r="A46" s="46" t="s">
        <v>4</v>
      </c>
      <c r="B46" s="57">
        <v>287857.63</v>
      </c>
      <c r="C46" s="50">
        <v>143928.81</v>
      </c>
      <c r="D46" s="50">
        <v>143928.81</v>
      </c>
      <c r="E46" s="50">
        <v>201.82</v>
      </c>
      <c r="F46" s="50">
        <f>B46+C46+D46+E46</f>
        <v>575917.06999999995</v>
      </c>
      <c r="G46" s="51"/>
      <c r="H46" s="62"/>
    </row>
    <row r="47" spans="1:8" x14ac:dyDescent="0.3">
      <c r="A47" s="46" t="s">
        <v>5</v>
      </c>
      <c r="B47" s="57">
        <v>906563.68</v>
      </c>
      <c r="C47" s="57">
        <v>453281.85</v>
      </c>
      <c r="D47" s="50">
        <v>453281.85</v>
      </c>
      <c r="E47" s="50">
        <v>51.06</v>
      </c>
      <c r="F47" s="50">
        <f>B47+C47+D47+E47</f>
        <v>1813178.44</v>
      </c>
    </row>
    <row r="48" spans="1:8" x14ac:dyDescent="0.3">
      <c r="A48" s="46" t="s">
        <v>6</v>
      </c>
      <c r="B48" s="59">
        <v>979209.5</v>
      </c>
      <c r="C48" s="59">
        <v>489604.75</v>
      </c>
      <c r="D48" s="59">
        <v>489604.75</v>
      </c>
      <c r="E48" s="59">
        <v>51.06</v>
      </c>
      <c r="F48" s="50">
        <f>B48+C48+D48+E48</f>
        <v>1958470.06</v>
      </c>
    </row>
    <row r="49" spans="1:8" x14ac:dyDescent="0.3">
      <c r="A49" s="46" t="s">
        <v>7</v>
      </c>
      <c r="B49" s="59">
        <v>1108886.1100000001</v>
      </c>
      <c r="C49" s="59">
        <v>554443.04</v>
      </c>
      <c r="D49" s="60">
        <v>554443.04</v>
      </c>
      <c r="E49" s="60">
        <v>187.48</v>
      </c>
      <c r="F49" s="50">
        <f>SUM(B49:E49)</f>
        <v>2217959.6700000004</v>
      </c>
    </row>
    <row r="50" spans="1:8" x14ac:dyDescent="0.3">
      <c r="A50" s="46" t="s">
        <v>8</v>
      </c>
      <c r="B50" s="48">
        <v>2302044.1800000002</v>
      </c>
      <c r="C50" s="48">
        <v>1151022.1000000001</v>
      </c>
      <c r="D50" s="48">
        <v>1151022.1000000001</v>
      </c>
      <c r="E50" s="48">
        <v>80.78</v>
      </c>
      <c r="F50" s="50">
        <f>SUM(B50:E50)</f>
        <v>4604169.1600000011</v>
      </c>
    </row>
    <row r="51" spans="1:8" x14ac:dyDescent="0.3">
      <c r="A51" s="46" t="s">
        <v>9</v>
      </c>
      <c r="B51" s="48">
        <v>2564578.59</v>
      </c>
      <c r="C51" s="48">
        <v>1282289.3</v>
      </c>
      <c r="D51" s="48">
        <v>1282289.3</v>
      </c>
      <c r="E51" s="48">
        <v>0</v>
      </c>
      <c r="F51" s="50">
        <f>SUM(B51:E51)</f>
        <v>5129157.1899999995</v>
      </c>
    </row>
    <row r="52" spans="1:8" x14ac:dyDescent="0.3">
      <c r="A52" s="46" t="s">
        <v>10</v>
      </c>
      <c r="B52" s="50">
        <v>1114086.49</v>
      </c>
      <c r="C52" s="50">
        <v>557043.25</v>
      </c>
      <c r="D52" s="50">
        <v>557043.25</v>
      </c>
      <c r="E52" s="50">
        <v>136.25</v>
      </c>
      <c r="F52" s="50">
        <f>B52+C52+D52+E52</f>
        <v>2228309.2400000002</v>
      </c>
    </row>
    <row r="53" spans="1:8" x14ac:dyDescent="0.3">
      <c r="A53" s="46" t="s">
        <v>11</v>
      </c>
      <c r="B53" s="50">
        <v>971301.15</v>
      </c>
      <c r="C53" s="50">
        <v>485650.57</v>
      </c>
      <c r="D53" s="50">
        <v>485650.57</v>
      </c>
      <c r="E53" s="50">
        <v>66.16</v>
      </c>
      <c r="F53" s="50">
        <f>B53+C53+D53+E53</f>
        <v>1942668.45</v>
      </c>
    </row>
    <row r="54" spans="1:8" ht="14.5" thickBot="1" x14ac:dyDescent="0.35">
      <c r="A54" s="53" t="s">
        <v>71</v>
      </c>
      <c r="B54" s="54">
        <f>SUM(B42:B53)</f>
        <v>11763236.450000001</v>
      </c>
      <c r="C54" s="54">
        <f>SUM(C42:C53)</f>
        <v>5881618.2200000007</v>
      </c>
      <c r="D54" s="54">
        <f>SUM(D42:D53)</f>
        <v>5881618.2200000007</v>
      </c>
      <c r="E54" s="54">
        <f>SUM(E42:E53)</f>
        <v>1237.27</v>
      </c>
      <c r="F54" s="54">
        <f>SUM(F42:F53)</f>
        <v>23527710.16</v>
      </c>
    </row>
    <row r="55" spans="1:8" ht="14.5" thickTop="1" x14ac:dyDescent="0.3"/>
    <row r="56" spans="1:8" ht="14.5" x14ac:dyDescent="0.35">
      <c r="A56" s="43"/>
      <c r="B56" s="44">
        <v>0.02</v>
      </c>
      <c r="C56" s="44">
        <v>0.03</v>
      </c>
      <c r="D56" s="44">
        <v>0.04</v>
      </c>
      <c r="E56" s="44">
        <v>4.4999999999999998E-2</v>
      </c>
      <c r="F56" s="45"/>
    </row>
    <row r="57" spans="1:8" ht="15.75" customHeight="1" x14ac:dyDescent="0.3">
      <c r="A57" s="46"/>
      <c r="B57" s="47" t="s">
        <v>72</v>
      </c>
      <c r="C57" s="47" t="s">
        <v>73</v>
      </c>
      <c r="D57" s="47" t="s">
        <v>73</v>
      </c>
      <c r="E57" s="47" t="s">
        <v>74</v>
      </c>
      <c r="F57" s="47" t="s">
        <v>75</v>
      </c>
    </row>
    <row r="58" spans="1:8" x14ac:dyDescent="0.3">
      <c r="A58" s="46" t="s">
        <v>0</v>
      </c>
      <c r="B58" s="55">
        <v>675410.72</v>
      </c>
      <c r="C58" s="55">
        <v>337705.36</v>
      </c>
      <c r="D58" s="55">
        <v>337705.36</v>
      </c>
      <c r="E58" s="55">
        <v>0</v>
      </c>
      <c r="F58" s="50">
        <f>SUM(B58:E58)</f>
        <v>1350821.44</v>
      </c>
    </row>
    <row r="59" spans="1:8" x14ac:dyDescent="0.3">
      <c r="A59" s="46" t="s">
        <v>1</v>
      </c>
      <c r="B59" s="63">
        <v>412241.21</v>
      </c>
      <c r="C59" s="63">
        <v>206120.61</v>
      </c>
      <c r="D59" s="63">
        <v>206120.61</v>
      </c>
      <c r="E59" s="50">
        <v>0</v>
      </c>
      <c r="F59" s="50">
        <f>SUM(B59:E59)</f>
        <v>824482.43</v>
      </c>
    </row>
    <row r="60" spans="1:8" x14ac:dyDescent="0.3">
      <c r="A60" s="46" t="s">
        <v>2</v>
      </c>
      <c r="B60" s="59">
        <v>325764.93</v>
      </c>
      <c r="C60" s="59">
        <v>162882.46</v>
      </c>
      <c r="D60" s="59">
        <v>162882.46</v>
      </c>
      <c r="E60" s="59">
        <v>0</v>
      </c>
      <c r="F60" s="50">
        <f>SUM(B60:E60)</f>
        <v>651529.85</v>
      </c>
    </row>
    <row r="61" spans="1:8" x14ac:dyDescent="0.3">
      <c r="A61" s="46" t="s">
        <v>3</v>
      </c>
      <c r="B61" s="57">
        <v>250666.13</v>
      </c>
      <c r="C61" s="57">
        <v>125333.07</v>
      </c>
      <c r="D61" s="57">
        <v>125333.07</v>
      </c>
      <c r="E61" s="50">
        <v>0</v>
      </c>
      <c r="F61" s="50">
        <f>SUM(B61:E61)</f>
        <v>501332.27</v>
      </c>
    </row>
    <row r="62" spans="1:8" x14ac:dyDescent="0.3">
      <c r="A62" s="46" t="s">
        <v>4</v>
      </c>
      <c r="B62" s="57">
        <v>312975.59000000003</v>
      </c>
      <c r="C62" s="50">
        <v>156487.79</v>
      </c>
      <c r="D62" s="50">
        <v>156487.79</v>
      </c>
      <c r="E62" s="50">
        <v>313.57</v>
      </c>
      <c r="F62" s="50">
        <f>SUM(B62:E62)</f>
        <v>626264.74</v>
      </c>
      <c r="G62" s="51"/>
      <c r="H62" s="62"/>
    </row>
    <row r="63" spans="1:8" x14ac:dyDescent="0.3">
      <c r="A63" s="46" t="s">
        <v>5</v>
      </c>
      <c r="B63" s="57">
        <v>1130785.1599999999</v>
      </c>
      <c r="C63" s="57">
        <v>565392.56999999995</v>
      </c>
      <c r="D63" s="50">
        <v>565392.56999999995</v>
      </c>
      <c r="E63" s="50">
        <v>230.53</v>
      </c>
      <c r="F63" s="50">
        <f>B63+C63+D63+E63</f>
        <v>2261800.8299999996</v>
      </c>
    </row>
    <row r="64" spans="1:8" x14ac:dyDescent="0.3">
      <c r="A64" s="46" t="s">
        <v>6</v>
      </c>
      <c r="B64" s="59">
        <v>872808.85</v>
      </c>
      <c r="C64" s="59">
        <v>436404.42</v>
      </c>
      <c r="D64" s="59">
        <v>436404.42</v>
      </c>
      <c r="E64" s="59">
        <v>0</v>
      </c>
      <c r="F64" s="50">
        <f>B64+C64+D64+E64</f>
        <v>1745617.69</v>
      </c>
    </row>
    <row r="65" spans="1:8" x14ac:dyDescent="0.3">
      <c r="A65" s="46" t="s">
        <v>7</v>
      </c>
      <c r="B65" s="48">
        <v>1139846.98</v>
      </c>
      <c r="C65" s="48">
        <v>569923.49</v>
      </c>
      <c r="D65" s="48">
        <v>569923.49</v>
      </c>
      <c r="E65" s="60">
        <v>0</v>
      </c>
      <c r="F65" s="50">
        <f>SUM(B65:E65)</f>
        <v>2279693.96</v>
      </c>
    </row>
    <row r="66" spans="1:8" x14ac:dyDescent="0.3">
      <c r="A66" s="46" t="s">
        <v>8</v>
      </c>
      <c r="B66" s="48">
        <v>2710621.08</v>
      </c>
      <c r="C66" s="48">
        <v>1355310.54</v>
      </c>
      <c r="D66" s="48">
        <v>1355310.54</v>
      </c>
      <c r="E66" s="48">
        <v>0</v>
      </c>
      <c r="F66" s="50">
        <f>SUM(B66:E66)</f>
        <v>5421242.1600000001</v>
      </c>
    </row>
    <row r="67" spans="1:8" x14ac:dyDescent="0.3">
      <c r="A67" s="46" t="s">
        <v>9</v>
      </c>
      <c r="B67" s="48">
        <v>2668633.2000000002</v>
      </c>
      <c r="C67" s="48">
        <v>1334316.6000000001</v>
      </c>
      <c r="D67" s="48">
        <v>1334316.6000000001</v>
      </c>
      <c r="E67" s="48">
        <v>0</v>
      </c>
      <c r="F67" s="50">
        <f>SUM(B67:E67)</f>
        <v>5337266.4000000004</v>
      </c>
    </row>
    <row r="68" spans="1:8" x14ac:dyDescent="0.3">
      <c r="A68" s="46" t="s">
        <v>10</v>
      </c>
      <c r="B68" s="48">
        <v>1328333.82</v>
      </c>
      <c r="C68" s="48">
        <v>664166.91</v>
      </c>
      <c r="D68" s="48">
        <v>664166.91</v>
      </c>
      <c r="E68" s="48">
        <v>0</v>
      </c>
      <c r="F68" s="50">
        <f>B68+C68+D68+E68</f>
        <v>2656667.64</v>
      </c>
    </row>
    <row r="69" spans="1:8" x14ac:dyDescent="0.3">
      <c r="A69" s="46" t="s">
        <v>11</v>
      </c>
      <c r="B69" s="48">
        <v>1035782.48</v>
      </c>
      <c r="C69" s="48">
        <v>517891.24</v>
      </c>
      <c r="D69" s="48">
        <v>517891.24</v>
      </c>
      <c r="E69" s="48">
        <v>0</v>
      </c>
      <c r="F69" s="50">
        <f>B69+C69+D69+E69</f>
        <v>2071564.96</v>
      </c>
    </row>
    <row r="70" spans="1:8" ht="14.5" thickBot="1" x14ac:dyDescent="0.35">
      <c r="A70" s="53" t="s">
        <v>75</v>
      </c>
      <c r="B70" s="54">
        <f>SUM(B58:B69)</f>
        <v>12863870.150000002</v>
      </c>
      <c r="C70" s="54">
        <f>SUM(C58:C69)</f>
        <v>6431935.0600000005</v>
      </c>
      <c r="D70" s="54">
        <f>SUM(D58:D69)</f>
        <v>6431935.0600000005</v>
      </c>
      <c r="E70" s="54">
        <f>SUM(E58:E69)</f>
        <v>544.1</v>
      </c>
      <c r="F70" s="54">
        <f>SUM(F58:F69)</f>
        <v>25728284.370000005</v>
      </c>
    </row>
    <row r="71" spans="1:8" ht="14.5" thickTop="1" x14ac:dyDescent="0.3"/>
    <row r="72" spans="1:8" ht="14.5" x14ac:dyDescent="0.35">
      <c r="A72" s="43"/>
      <c r="B72" s="44">
        <v>0.02</v>
      </c>
      <c r="C72" s="44">
        <v>0.03</v>
      </c>
      <c r="D72" s="44">
        <v>0.04</v>
      </c>
      <c r="E72" s="44">
        <v>4.4999999999999998E-2</v>
      </c>
      <c r="F72" s="45"/>
    </row>
    <row r="73" spans="1:8" ht="15.75" customHeight="1" x14ac:dyDescent="0.3">
      <c r="A73" s="46"/>
      <c r="B73" s="47" t="s">
        <v>76</v>
      </c>
      <c r="C73" s="47" t="s">
        <v>77</v>
      </c>
      <c r="D73" s="47" t="s">
        <v>77</v>
      </c>
      <c r="E73" s="47" t="s">
        <v>78</v>
      </c>
      <c r="F73" s="47" t="s">
        <v>79</v>
      </c>
    </row>
    <row r="74" spans="1:8" x14ac:dyDescent="0.3">
      <c r="A74" s="46" t="s">
        <v>0</v>
      </c>
      <c r="B74" s="48">
        <v>831515.29</v>
      </c>
      <c r="C74" s="48">
        <v>415757.64</v>
      </c>
      <c r="D74" s="48">
        <v>415757.64</v>
      </c>
      <c r="E74" s="48">
        <v>0</v>
      </c>
      <c r="F74" s="50">
        <f>SUM(B74:E74)</f>
        <v>1663030.5700000003</v>
      </c>
    </row>
    <row r="75" spans="1:8" x14ac:dyDescent="0.3">
      <c r="A75" s="46" t="s">
        <v>1</v>
      </c>
      <c r="B75" s="48">
        <v>488144.91</v>
      </c>
      <c r="C75" s="48">
        <v>244072.46</v>
      </c>
      <c r="D75" s="48">
        <v>244072.46</v>
      </c>
      <c r="E75" s="48">
        <v>0</v>
      </c>
      <c r="F75" s="50">
        <f>SUM(B75:E75)</f>
        <v>976289.83</v>
      </c>
    </row>
    <row r="76" spans="1:8" x14ac:dyDescent="0.3">
      <c r="A76" s="46" t="s">
        <v>2</v>
      </c>
      <c r="B76" s="48">
        <v>336159.48</v>
      </c>
      <c r="C76" s="48">
        <v>168079.73</v>
      </c>
      <c r="D76" s="48">
        <v>168079.73</v>
      </c>
      <c r="E76" s="48">
        <v>0</v>
      </c>
      <c r="F76" s="50">
        <f>SUM(B76:E76)</f>
        <v>672318.94</v>
      </c>
    </row>
    <row r="77" spans="1:8" x14ac:dyDescent="0.3">
      <c r="A77" s="46" t="s">
        <v>3</v>
      </c>
      <c r="B77" s="48">
        <v>307487.96999999997</v>
      </c>
      <c r="C77" s="48">
        <v>153743.98000000001</v>
      </c>
      <c r="D77" s="48">
        <v>153743.98000000001</v>
      </c>
      <c r="E77" s="48">
        <v>0</v>
      </c>
      <c r="F77" s="50">
        <f>SUM(B77:E77)</f>
        <v>614975.92999999993</v>
      </c>
    </row>
    <row r="78" spans="1:8" x14ac:dyDescent="0.3">
      <c r="A78" s="46" t="s">
        <v>4</v>
      </c>
      <c r="B78" s="48">
        <v>354534.87</v>
      </c>
      <c r="C78" s="48">
        <v>177267.43</v>
      </c>
      <c r="D78" s="48">
        <v>177267.43</v>
      </c>
      <c r="E78" s="48">
        <v>0</v>
      </c>
      <c r="F78" s="50">
        <f>SUM(B78:E78)</f>
        <v>709069.73</v>
      </c>
      <c r="G78" s="51"/>
      <c r="H78" s="62"/>
    </row>
    <row r="79" spans="1:8" x14ac:dyDescent="0.3">
      <c r="A79" s="46" t="s">
        <v>5</v>
      </c>
      <c r="B79" s="48">
        <v>1157967.8500000001</v>
      </c>
      <c r="C79" s="48">
        <v>578983.93000000005</v>
      </c>
      <c r="D79" s="48">
        <v>578983.93000000005</v>
      </c>
      <c r="E79" s="48">
        <v>0</v>
      </c>
      <c r="F79" s="50">
        <f>B79+C79+D79+E79</f>
        <v>2315935.7100000004</v>
      </c>
    </row>
    <row r="80" spans="1:8" x14ac:dyDescent="0.3">
      <c r="A80" s="46" t="s">
        <v>6</v>
      </c>
      <c r="B80" s="48">
        <v>1028612.66</v>
      </c>
      <c r="C80" s="48">
        <v>514306.33</v>
      </c>
      <c r="D80" s="48">
        <v>514306.33</v>
      </c>
      <c r="E80" s="48">
        <v>0</v>
      </c>
      <c r="F80" s="50">
        <f>B80+C80+D80+E80</f>
        <v>2057225.32</v>
      </c>
    </row>
    <row r="81" spans="1:7" x14ac:dyDescent="0.3">
      <c r="A81" s="46" t="s">
        <v>7</v>
      </c>
      <c r="B81" s="48">
        <v>1371010.18</v>
      </c>
      <c r="C81" s="48">
        <v>685505.1</v>
      </c>
      <c r="D81" s="48">
        <v>685505.1</v>
      </c>
      <c r="E81" s="48">
        <v>0</v>
      </c>
      <c r="F81" s="50">
        <f>SUM(B81:E81)</f>
        <v>2742020.38</v>
      </c>
    </row>
    <row r="82" spans="1:7" x14ac:dyDescent="0.3">
      <c r="A82" s="46" t="s">
        <v>8</v>
      </c>
      <c r="B82" s="48">
        <v>2791990.9</v>
      </c>
      <c r="C82" s="48">
        <v>1395995.46</v>
      </c>
      <c r="D82" s="48">
        <v>1395995.46</v>
      </c>
      <c r="E82" s="48">
        <v>0</v>
      </c>
      <c r="F82" s="50">
        <f>SUM(B82:E82)</f>
        <v>5583981.8200000003</v>
      </c>
    </row>
    <row r="83" spans="1:7" x14ac:dyDescent="0.3">
      <c r="A83" s="46" t="s">
        <v>9</v>
      </c>
      <c r="B83" s="48">
        <v>2727529.08</v>
      </c>
      <c r="C83" s="48">
        <v>1363764.53</v>
      </c>
      <c r="D83" s="48">
        <v>1363764.53</v>
      </c>
      <c r="E83" s="48">
        <v>163.11000000000001</v>
      </c>
      <c r="F83" s="50">
        <f>SUM(B83:E83)</f>
        <v>5455221.2500000009</v>
      </c>
    </row>
    <row r="84" spans="1:7" x14ac:dyDescent="0.3">
      <c r="A84" s="46" t="s">
        <v>10</v>
      </c>
      <c r="B84" s="48">
        <v>1463761.46</v>
      </c>
      <c r="C84" s="48">
        <v>731880.73</v>
      </c>
      <c r="D84" s="48">
        <v>731880.73</v>
      </c>
      <c r="E84" s="48">
        <v>0</v>
      </c>
      <c r="F84" s="50">
        <f>B84+C84+D84+E84</f>
        <v>2927522.92</v>
      </c>
    </row>
    <row r="85" spans="1:7" x14ac:dyDescent="0.3">
      <c r="A85" s="46" t="s">
        <v>11</v>
      </c>
      <c r="B85" s="48">
        <v>992931.61</v>
      </c>
      <c r="C85" s="48">
        <v>496465.8</v>
      </c>
      <c r="D85" s="48">
        <v>496465.8</v>
      </c>
      <c r="E85" s="48">
        <v>0</v>
      </c>
      <c r="F85" s="50">
        <f>B85+C85+D85+E85</f>
        <v>1985863.21</v>
      </c>
    </row>
    <row r="86" spans="1:7" ht="14.5" thickBot="1" x14ac:dyDescent="0.35">
      <c r="A86" s="53" t="s">
        <v>79</v>
      </c>
      <c r="B86" s="54">
        <f>SUM(B74:B85)</f>
        <v>13851646.259999998</v>
      </c>
      <c r="C86" s="54">
        <f>SUM(C74:C85)</f>
        <v>6925823.1200000001</v>
      </c>
      <c r="D86" s="54">
        <f>SUM(D74:D85)</f>
        <v>6925823.1200000001</v>
      </c>
      <c r="E86" s="54">
        <f>SUM(E74:E85)</f>
        <v>163.11000000000001</v>
      </c>
      <c r="F86" s="54">
        <f>SUM(F74:F85)</f>
        <v>27703455.609999999</v>
      </c>
    </row>
    <row r="87" spans="1:7" ht="14.5" thickTop="1" x14ac:dyDescent="0.3"/>
    <row r="89" spans="1:7" x14ac:dyDescent="0.3">
      <c r="A89" s="143" t="s">
        <v>123</v>
      </c>
      <c r="B89" s="110" t="s">
        <v>124</v>
      </c>
      <c r="C89" s="110" t="s">
        <v>125</v>
      </c>
      <c r="D89" s="110" t="s">
        <v>126</v>
      </c>
      <c r="E89" s="110" t="s">
        <v>133</v>
      </c>
      <c r="F89" s="111" t="s">
        <v>128</v>
      </c>
      <c r="G89" s="113"/>
    </row>
    <row r="90" spans="1:7" ht="14.5" thickBot="1" x14ac:dyDescent="0.35">
      <c r="A90" s="143"/>
      <c r="B90" s="40">
        <f>B86+B70+B54+B38+B22</f>
        <v>59412819.769999996</v>
      </c>
      <c r="C90" s="40">
        <f t="shared" ref="C90:D90" si="3">C86+C70+C54+C38+C22</f>
        <v>29706409.859999999</v>
      </c>
      <c r="D90" s="40">
        <f t="shared" si="3"/>
        <v>29706409.859999999</v>
      </c>
      <c r="E90" s="40">
        <f>E86+E70+E54+E38+E22</f>
        <v>35364.399999999994</v>
      </c>
      <c r="F90" s="112">
        <f>F86+F70+F54+F38+F22</f>
        <v>118861003.89000002</v>
      </c>
    </row>
    <row r="92" spans="1:7" x14ac:dyDescent="0.3">
      <c r="A92" s="39" t="s">
        <v>132</v>
      </c>
    </row>
  </sheetData>
  <sheetProtection algorithmName="SHA-512" hashValue="RO/WwC85e0QA3lMH+O1ojWGOZ7kamQ+TRL0LJL032P5sMGYVwCvT4ZCLdampd7ie1Js1UG7L8M6hlYTWOsNREA==" saltValue="9WVDK+3Yxt6T/8MEDgOKzg==" spinCount="100000" sheet="1" objects="1" scenarios="1"/>
  <mergeCells count="2">
    <mergeCell ref="A5:F6"/>
    <mergeCell ref="A89:A90"/>
  </mergeCells>
  <phoneticPr fontId="0" type="noConversion"/>
  <pageMargins left="0.7" right="0.7" top="0.75" bottom="0.75" header="0.3" footer="0.3"/>
  <pageSetup orientation="portrait" r:id="rId1"/>
  <headerFooter alignWithMargins="0"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4"/>
  <sheetViews>
    <sheetView topLeftCell="A64" zoomScaleNormal="100" workbookViewId="0">
      <selection activeCell="E37" sqref="E37"/>
    </sheetView>
  </sheetViews>
  <sheetFormatPr defaultColWidth="9.1796875" defaultRowHeight="14" x14ac:dyDescent="0.3"/>
  <cols>
    <col min="1" max="1" width="12.1796875" style="39" customWidth="1"/>
    <col min="2" max="2" width="15" style="40" bestFit="1" customWidth="1"/>
    <col min="3" max="4" width="15.1796875" style="40" bestFit="1" customWidth="1"/>
    <col min="5" max="5" width="17" style="40" bestFit="1" customWidth="1"/>
    <col min="6" max="6" width="18" style="88" customWidth="1"/>
    <col min="7" max="7" width="13.81640625" style="41" bestFit="1" customWidth="1"/>
    <col min="8" max="8" width="7.81640625" style="41" bestFit="1" customWidth="1"/>
    <col min="9" max="9" width="11.453125" style="41" bestFit="1" customWidth="1"/>
    <col min="10" max="16384" width="9.1796875" style="41"/>
  </cols>
  <sheetData>
    <row r="1" spans="1:8" x14ac:dyDescent="0.3">
      <c r="A1" s="39" t="s">
        <v>13</v>
      </c>
    </row>
    <row r="2" spans="1:8" x14ac:dyDescent="0.3">
      <c r="A2" s="39" t="s">
        <v>141</v>
      </c>
    </row>
    <row r="3" spans="1:8" ht="14.5" x14ac:dyDescent="0.35">
      <c r="A3" s="42" t="s">
        <v>58</v>
      </c>
    </row>
    <row r="5" spans="1:8" ht="14.5" x14ac:dyDescent="0.35">
      <c r="A5" s="64" t="s">
        <v>12</v>
      </c>
    </row>
    <row r="7" spans="1:8" s="43" customFormat="1" ht="14.5" x14ac:dyDescent="0.35">
      <c r="B7" s="44">
        <v>0.02</v>
      </c>
      <c r="C7" s="44">
        <v>0.03</v>
      </c>
      <c r="D7" s="44">
        <v>0.04</v>
      </c>
      <c r="E7" s="44">
        <v>4.4999999999999998E-2</v>
      </c>
      <c r="F7" s="89"/>
    </row>
    <row r="8" spans="1:8" x14ac:dyDescent="0.3">
      <c r="A8" s="46"/>
      <c r="B8" s="144" t="s">
        <v>14</v>
      </c>
      <c r="C8" s="144" t="s">
        <v>15</v>
      </c>
      <c r="D8" s="144" t="s">
        <v>15</v>
      </c>
      <c r="E8" s="144" t="s">
        <v>16</v>
      </c>
      <c r="F8" s="144" t="s">
        <v>17</v>
      </c>
    </row>
    <row r="9" spans="1:8" x14ac:dyDescent="0.3">
      <c r="A9" s="65"/>
      <c r="B9" s="145"/>
      <c r="C9" s="145"/>
      <c r="D9" s="145"/>
      <c r="E9" s="145"/>
      <c r="F9" s="145"/>
    </row>
    <row r="10" spans="1:8" x14ac:dyDescent="0.3">
      <c r="A10" s="46" t="s">
        <v>0</v>
      </c>
      <c r="B10" s="40">
        <v>212726.36</v>
      </c>
      <c r="C10" s="40">
        <v>106363.18</v>
      </c>
      <c r="D10" s="40">
        <v>106363.18</v>
      </c>
      <c r="E10" s="40">
        <v>53181.59</v>
      </c>
      <c r="F10" s="88">
        <f t="shared" ref="F10:F21" si="0">SUM(B10:E10)</f>
        <v>478634.30999999994</v>
      </c>
    </row>
    <row r="11" spans="1:8" x14ac:dyDescent="0.3">
      <c r="A11" s="46" t="s">
        <v>1</v>
      </c>
      <c r="B11" s="40">
        <v>138025.01</v>
      </c>
      <c r="C11" s="40">
        <v>69012.5</v>
      </c>
      <c r="D11" s="40">
        <v>69012.5</v>
      </c>
      <c r="E11" s="40">
        <v>34506.25</v>
      </c>
      <c r="F11" s="88">
        <f t="shared" si="0"/>
        <v>310556.26</v>
      </c>
    </row>
    <row r="12" spans="1:8" x14ac:dyDescent="0.3">
      <c r="A12" s="46" t="s">
        <v>2</v>
      </c>
      <c r="B12" s="66">
        <v>125249.93</v>
      </c>
      <c r="C12" s="66">
        <v>62624.959999999999</v>
      </c>
      <c r="D12" s="66">
        <v>62624.959999999999</v>
      </c>
      <c r="E12" s="67">
        <v>31312.48</v>
      </c>
      <c r="F12" s="88">
        <f t="shared" si="0"/>
        <v>281812.32999999996</v>
      </c>
    </row>
    <row r="13" spans="1:8" x14ac:dyDescent="0.3">
      <c r="A13" s="46" t="s">
        <v>3</v>
      </c>
      <c r="B13" s="66">
        <v>129158.87</v>
      </c>
      <c r="C13" s="66">
        <v>64579.44</v>
      </c>
      <c r="D13" s="67">
        <v>64579.44</v>
      </c>
      <c r="E13" s="67">
        <v>32289.71</v>
      </c>
      <c r="F13" s="88">
        <f t="shared" si="0"/>
        <v>290607.46000000002</v>
      </c>
    </row>
    <row r="14" spans="1:8" x14ac:dyDescent="0.3">
      <c r="A14" s="46" t="s">
        <v>4</v>
      </c>
      <c r="B14" s="68">
        <v>175109.02</v>
      </c>
      <c r="C14" s="40">
        <v>87554.51</v>
      </c>
      <c r="D14" s="40">
        <v>87554.51</v>
      </c>
      <c r="E14" s="67">
        <v>43777.26</v>
      </c>
      <c r="F14" s="88">
        <f t="shared" si="0"/>
        <v>393995.3</v>
      </c>
      <c r="G14" s="68"/>
      <c r="H14" s="62"/>
    </row>
    <row r="15" spans="1:8" x14ac:dyDescent="0.3">
      <c r="A15" s="46" t="s">
        <v>5</v>
      </c>
      <c r="B15" s="68">
        <v>414775.92</v>
      </c>
      <c r="C15" s="68">
        <v>207387.96</v>
      </c>
      <c r="D15" s="40">
        <v>207387.96</v>
      </c>
      <c r="E15" s="40">
        <v>103693.98</v>
      </c>
      <c r="F15" s="88">
        <f t="shared" si="0"/>
        <v>933245.82</v>
      </c>
    </row>
    <row r="16" spans="1:8" x14ac:dyDescent="0.3">
      <c r="A16" s="46" t="s">
        <v>6</v>
      </c>
      <c r="B16" s="68">
        <v>418209.65</v>
      </c>
      <c r="C16" s="68">
        <v>209104.83</v>
      </c>
      <c r="D16" s="40">
        <v>209104.82</v>
      </c>
      <c r="E16" s="40">
        <v>104552.41</v>
      </c>
      <c r="F16" s="88">
        <f t="shared" si="0"/>
        <v>940971.71000000008</v>
      </c>
    </row>
    <row r="17" spans="1:8" x14ac:dyDescent="0.3">
      <c r="A17" s="46" t="s">
        <v>7</v>
      </c>
      <c r="B17" s="68">
        <v>497027.58</v>
      </c>
      <c r="C17" s="68">
        <v>248513.79</v>
      </c>
      <c r="D17" s="40">
        <v>248513.79</v>
      </c>
      <c r="E17" s="40">
        <v>124256.9</v>
      </c>
      <c r="F17" s="88">
        <f t="shared" si="0"/>
        <v>1118312.06</v>
      </c>
    </row>
    <row r="18" spans="1:8" x14ac:dyDescent="0.3">
      <c r="A18" s="46" t="s">
        <v>8</v>
      </c>
      <c r="B18" s="68">
        <v>1032073.34</v>
      </c>
      <c r="C18" s="68">
        <v>516036.67</v>
      </c>
      <c r="D18" s="40">
        <v>516036.67</v>
      </c>
      <c r="E18" s="40">
        <v>258018.34</v>
      </c>
      <c r="F18" s="88">
        <f t="shared" si="0"/>
        <v>2322165.02</v>
      </c>
    </row>
    <row r="19" spans="1:8" x14ac:dyDescent="0.3">
      <c r="A19" s="46" t="s">
        <v>9</v>
      </c>
      <c r="B19" s="40">
        <v>866475.23</v>
      </c>
      <c r="C19" s="40">
        <v>433237.61</v>
      </c>
      <c r="D19" s="40">
        <v>433237.61</v>
      </c>
      <c r="E19" s="40">
        <v>216618.81</v>
      </c>
      <c r="F19" s="88">
        <f t="shared" si="0"/>
        <v>1949569.2599999998</v>
      </c>
    </row>
    <row r="20" spans="1:8" x14ac:dyDescent="0.3">
      <c r="A20" s="46" t="s">
        <v>10</v>
      </c>
      <c r="B20" s="40">
        <v>386813.73</v>
      </c>
      <c r="C20" s="40">
        <v>193406.86</v>
      </c>
      <c r="D20" s="40">
        <v>193406.86</v>
      </c>
      <c r="E20" s="40">
        <v>96703.43</v>
      </c>
      <c r="F20" s="88">
        <f t="shared" si="0"/>
        <v>870330.87999999989</v>
      </c>
    </row>
    <row r="21" spans="1:8" x14ac:dyDescent="0.3">
      <c r="A21" s="46" t="s">
        <v>11</v>
      </c>
      <c r="B21" s="68">
        <v>383981.96</v>
      </c>
      <c r="C21" s="68">
        <v>191990.98</v>
      </c>
      <c r="D21" s="40">
        <v>191990.98</v>
      </c>
      <c r="E21" s="40">
        <v>95995.49</v>
      </c>
      <c r="F21" s="88">
        <f t="shared" si="0"/>
        <v>863959.41</v>
      </c>
    </row>
    <row r="22" spans="1:8" ht="14.5" thickBot="1" x14ac:dyDescent="0.35">
      <c r="A22" s="53" t="s">
        <v>22</v>
      </c>
      <c r="B22" s="69">
        <f>SUM(B10:B21)</f>
        <v>4779626.5999999996</v>
      </c>
      <c r="C22" s="69">
        <f>SUM(C10:C21)</f>
        <v>2389813.2899999996</v>
      </c>
      <c r="D22" s="69">
        <f>SUM(D10:D21)</f>
        <v>2389813.2799999998</v>
      </c>
      <c r="E22" s="69">
        <f>SUM(E10:E21)</f>
        <v>1194906.6499999999</v>
      </c>
      <c r="F22" s="90">
        <f>SUM(F10:F21)</f>
        <v>10754159.82</v>
      </c>
    </row>
    <row r="23" spans="1:8" ht="14.5" thickTop="1" x14ac:dyDescent="0.3"/>
    <row r="24" spans="1:8" ht="14.5" x14ac:dyDescent="0.35">
      <c r="A24" s="43"/>
      <c r="B24" s="44">
        <v>0.02</v>
      </c>
      <c r="C24" s="44">
        <v>0.03</v>
      </c>
      <c r="D24" s="44">
        <v>0.04</v>
      </c>
      <c r="E24" s="44">
        <v>4.4999999999999998E-2</v>
      </c>
      <c r="F24" s="89"/>
    </row>
    <row r="25" spans="1:8" x14ac:dyDescent="0.3">
      <c r="A25" s="46"/>
      <c r="B25" s="144" t="s">
        <v>18</v>
      </c>
      <c r="C25" s="144" t="s">
        <v>19</v>
      </c>
      <c r="D25" s="144" t="s">
        <v>19</v>
      </c>
      <c r="E25" s="144" t="s">
        <v>20</v>
      </c>
      <c r="F25" s="144" t="s">
        <v>21</v>
      </c>
    </row>
    <row r="26" spans="1:8" x14ac:dyDescent="0.3">
      <c r="A26" s="65"/>
      <c r="B26" s="145"/>
      <c r="C26" s="145"/>
      <c r="D26" s="145"/>
      <c r="E26" s="145"/>
      <c r="F26" s="145"/>
    </row>
    <row r="27" spans="1:8" x14ac:dyDescent="0.3">
      <c r="A27" s="46" t="s">
        <v>0</v>
      </c>
      <c r="B27" s="40">
        <v>211405.96</v>
      </c>
      <c r="C27" s="40">
        <v>105702.98</v>
      </c>
      <c r="D27" s="40">
        <v>105702.98</v>
      </c>
      <c r="E27" s="40">
        <v>52851.49</v>
      </c>
      <c r="F27" s="88">
        <v>475663.41</v>
      </c>
    </row>
    <row r="28" spans="1:8" x14ac:dyDescent="0.3">
      <c r="A28" s="46" t="s">
        <v>1</v>
      </c>
      <c r="B28" s="40">
        <v>123179.43</v>
      </c>
      <c r="C28" s="40">
        <v>61589.72</v>
      </c>
      <c r="D28" s="40">
        <v>61589.72</v>
      </c>
      <c r="E28" s="40">
        <v>30794.85</v>
      </c>
      <c r="F28" s="88">
        <f t="shared" ref="F28:F38" si="1">SUM(B28:E28)</f>
        <v>277153.71999999997</v>
      </c>
    </row>
    <row r="29" spans="1:8" x14ac:dyDescent="0.3">
      <c r="A29" s="46" t="s">
        <v>2</v>
      </c>
      <c r="B29" s="66">
        <v>153619.24</v>
      </c>
      <c r="C29" s="66">
        <v>76809.62</v>
      </c>
      <c r="D29" s="66">
        <v>76809.62</v>
      </c>
      <c r="E29" s="67">
        <v>38404.81</v>
      </c>
      <c r="F29" s="88">
        <f t="shared" si="1"/>
        <v>345643.29</v>
      </c>
    </row>
    <row r="30" spans="1:8" x14ac:dyDescent="0.3">
      <c r="A30" s="46" t="s">
        <v>3</v>
      </c>
      <c r="B30" s="40">
        <v>130994.07</v>
      </c>
      <c r="C30" s="40">
        <v>65497.03</v>
      </c>
      <c r="D30" s="40">
        <v>65497.03</v>
      </c>
      <c r="E30" s="40">
        <v>32748.52</v>
      </c>
      <c r="F30" s="88">
        <f t="shared" si="1"/>
        <v>294736.65000000002</v>
      </c>
    </row>
    <row r="31" spans="1:8" x14ac:dyDescent="0.3">
      <c r="A31" s="46" t="s">
        <v>4</v>
      </c>
      <c r="B31" s="68">
        <v>160421.72</v>
      </c>
      <c r="C31" s="40">
        <v>80210.86</v>
      </c>
      <c r="D31" s="40">
        <v>80210.86</v>
      </c>
      <c r="E31" s="67">
        <v>40105.43</v>
      </c>
      <c r="F31" s="88">
        <f t="shared" si="1"/>
        <v>360948.87</v>
      </c>
      <c r="G31" s="51"/>
      <c r="H31" s="62"/>
    </row>
    <row r="32" spans="1:8" x14ac:dyDescent="0.3">
      <c r="A32" s="46" t="s">
        <v>5</v>
      </c>
      <c r="B32" s="66">
        <v>494469.04</v>
      </c>
      <c r="C32" s="66">
        <v>247234.52</v>
      </c>
      <c r="D32" s="67">
        <v>247234.52</v>
      </c>
      <c r="E32" s="40">
        <v>123617.26</v>
      </c>
      <c r="F32" s="88">
        <f t="shared" si="1"/>
        <v>1112555.3399999999</v>
      </c>
    </row>
    <row r="33" spans="1:8" x14ac:dyDescent="0.3">
      <c r="A33" s="46" t="s">
        <v>6</v>
      </c>
      <c r="B33" s="68">
        <v>497037.88</v>
      </c>
      <c r="C33" s="68">
        <v>248518.94</v>
      </c>
      <c r="D33" s="40">
        <v>248518.94</v>
      </c>
      <c r="E33" s="40">
        <v>124259.47</v>
      </c>
      <c r="F33" s="88">
        <f t="shared" si="1"/>
        <v>1118335.23</v>
      </c>
    </row>
    <row r="34" spans="1:8" x14ac:dyDescent="0.3">
      <c r="A34" s="46" t="s">
        <v>7</v>
      </c>
      <c r="B34" s="70">
        <v>572235.47</v>
      </c>
      <c r="C34" s="70">
        <v>286117.73</v>
      </c>
      <c r="D34" s="70">
        <v>286117.73</v>
      </c>
      <c r="E34" s="70">
        <v>143058.87</v>
      </c>
      <c r="F34" s="88">
        <f t="shared" si="1"/>
        <v>1287529.7999999998</v>
      </c>
    </row>
    <row r="35" spans="1:8" x14ac:dyDescent="0.3">
      <c r="A35" s="46" t="s">
        <v>8</v>
      </c>
      <c r="B35" s="68">
        <v>1288285.06</v>
      </c>
      <c r="C35" s="68">
        <v>644142.53</v>
      </c>
      <c r="D35" s="40">
        <v>644142.53</v>
      </c>
      <c r="E35" s="40">
        <v>322071.27</v>
      </c>
      <c r="F35" s="88">
        <f t="shared" si="1"/>
        <v>2898641.39</v>
      </c>
    </row>
    <row r="36" spans="1:8" x14ac:dyDescent="0.3">
      <c r="A36" s="46" t="s">
        <v>9</v>
      </c>
      <c r="B36" s="70">
        <v>1328933.19</v>
      </c>
      <c r="C36" s="70">
        <v>664466.59</v>
      </c>
      <c r="D36" s="70">
        <v>664466.59</v>
      </c>
      <c r="E36" s="71">
        <v>332233.3</v>
      </c>
      <c r="F36" s="88">
        <f t="shared" si="1"/>
        <v>2990099.6699999995</v>
      </c>
    </row>
    <row r="37" spans="1:8" x14ac:dyDescent="0.3">
      <c r="A37" s="46" t="s">
        <v>10</v>
      </c>
      <c r="B37" s="71">
        <v>633917.9</v>
      </c>
      <c r="C37" s="71">
        <v>316958.95</v>
      </c>
      <c r="D37" s="71">
        <v>316958.95</v>
      </c>
      <c r="E37" s="71"/>
      <c r="F37" s="88">
        <f t="shared" si="1"/>
        <v>1267835.8</v>
      </c>
    </row>
    <row r="38" spans="1:8" x14ac:dyDescent="0.3">
      <c r="A38" s="46" t="s">
        <v>11</v>
      </c>
      <c r="B38" s="72">
        <v>597104.03</v>
      </c>
      <c r="C38" s="72">
        <v>283341.05</v>
      </c>
      <c r="D38" s="71">
        <v>283341.05</v>
      </c>
      <c r="E38" s="71">
        <v>141670.53</v>
      </c>
      <c r="F38" s="88">
        <f t="shared" si="1"/>
        <v>1305456.6600000001</v>
      </c>
    </row>
    <row r="39" spans="1:8" ht="14.5" thickBot="1" x14ac:dyDescent="0.35">
      <c r="A39" s="53" t="s">
        <v>22</v>
      </c>
      <c r="B39" s="69">
        <f>SUM(B27:B38)</f>
        <v>6191602.9900000002</v>
      </c>
      <c r="C39" s="69">
        <f>SUM(C27:C38)</f>
        <v>3080590.52</v>
      </c>
      <c r="D39" s="69">
        <f>SUM(D27:D38)</f>
        <v>3080590.52</v>
      </c>
      <c r="E39" s="69">
        <f>SUM(E27:E38)</f>
        <v>1381815.8</v>
      </c>
      <c r="F39" s="90">
        <f>SUM(F27:F38)</f>
        <v>13734599.83</v>
      </c>
    </row>
    <row r="40" spans="1:8" ht="14.5" thickTop="1" x14ac:dyDescent="0.3"/>
    <row r="41" spans="1:8" ht="14.5" x14ac:dyDescent="0.35">
      <c r="A41" s="43"/>
      <c r="B41" s="44">
        <v>0.02</v>
      </c>
      <c r="C41" s="44">
        <v>0.03</v>
      </c>
      <c r="D41" s="44">
        <v>0.04</v>
      </c>
      <c r="E41" s="44">
        <v>4.4999999999999998E-2</v>
      </c>
      <c r="F41" s="89"/>
    </row>
    <row r="42" spans="1:8" x14ac:dyDescent="0.3">
      <c r="A42" s="46"/>
      <c r="B42" s="144" t="s">
        <v>23</v>
      </c>
      <c r="C42" s="144" t="s">
        <v>24</v>
      </c>
      <c r="D42" s="144" t="s">
        <v>24</v>
      </c>
      <c r="E42" s="144" t="s">
        <v>25</v>
      </c>
      <c r="F42" s="144" t="s">
        <v>26</v>
      </c>
    </row>
    <row r="43" spans="1:8" x14ac:dyDescent="0.3">
      <c r="A43" s="65"/>
      <c r="B43" s="145"/>
      <c r="C43" s="145"/>
      <c r="D43" s="145"/>
      <c r="E43" s="145"/>
      <c r="F43" s="145"/>
    </row>
    <row r="44" spans="1:8" x14ac:dyDescent="0.3">
      <c r="A44" s="46" t="s">
        <v>0</v>
      </c>
      <c r="B44" s="71">
        <v>301671.45</v>
      </c>
      <c r="C44" s="71">
        <v>150835.73000000001</v>
      </c>
      <c r="D44" s="71">
        <v>150835.73000000001</v>
      </c>
      <c r="E44" s="71">
        <v>75417.86</v>
      </c>
      <c r="F44" s="88">
        <f t="shared" ref="F44:F55" si="2">SUM(B44:E44)</f>
        <v>678760.77</v>
      </c>
    </row>
    <row r="45" spans="1:8" x14ac:dyDescent="0.3">
      <c r="A45" s="46" t="s">
        <v>1</v>
      </c>
      <c r="B45" s="71">
        <v>175703.82</v>
      </c>
      <c r="C45" s="72">
        <v>87851.91</v>
      </c>
      <c r="D45" s="71">
        <v>87851.91</v>
      </c>
      <c r="E45" s="71">
        <v>43925.96</v>
      </c>
      <c r="F45" s="88">
        <f t="shared" si="2"/>
        <v>395333.60000000003</v>
      </c>
    </row>
    <row r="46" spans="1:8" x14ac:dyDescent="0.3">
      <c r="A46" s="46" t="s">
        <v>2</v>
      </c>
      <c r="B46" s="73">
        <v>175330.05</v>
      </c>
      <c r="C46" s="73">
        <v>87665.03</v>
      </c>
      <c r="D46" s="73">
        <v>87665.03</v>
      </c>
      <c r="E46" s="71">
        <v>43832.51</v>
      </c>
      <c r="F46" s="88">
        <f t="shared" si="2"/>
        <v>394492.62</v>
      </c>
    </row>
    <row r="47" spans="1:8" x14ac:dyDescent="0.3">
      <c r="A47" s="46" t="s">
        <v>3</v>
      </c>
      <c r="B47" s="70">
        <v>147502.22</v>
      </c>
      <c r="C47" s="70">
        <v>73751.11</v>
      </c>
      <c r="D47" s="70">
        <v>73751.11</v>
      </c>
      <c r="E47" s="71">
        <v>36875.550000000003</v>
      </c>
      <c r="F47" s="88">
        <f t="shared" si="2"/>
        <v>331879.99</v>
      </c>
    </row>
    <row r="48" spans="1:8" x14ac:dyDescent="0.3">
      <c r="A48" s="46" t="s">
        <v>4</v>
      </c>
      <c r="B48" s="72">
        <v>197477.61</v>
      </c>
      <c r="C48" s="71">
        <v>98738.81</v>
      </c>
      <c r="D48" s="71">
        <v>98738.81</v>
      </c>
      <c r="E48" s="71">
        <v>49369.4</v>
      </c>
      <c r="F48" s="88">
        <f t="shared" si="2"/>
        <v>444324.63</v>
      </c>
      <c r="G48" s="51"/>
      <c r="H48" s="62"/>
    </row>
    <row r="49" spans="1:8" x14ac:dyDescent="0.3">
      <c r="A49" s="74" t="s">
        <v>5</v>
      </c>
      <c r="B49" s="75">
        <v>660254.23</v>
      </c>
      <c r="C49" s="75">
        <v>330127.12</v>
      </c>
      <c r="D49" s="75">
        <v>330127.12</v>
      </c>
      <c r="E49" s="76">
        <v>165063.56</v>
      </c>
      <c r="F49" s="91">
        <f t="shared" si="2"/>
        <v>1485572.03</v>
      </c>
    </row>
    <row r="50" spans="1:8" x14ac:dyDescent="0.3">
      <c r="A50" s="46" t="s">
        <v>6</v>
      </c>
      <c r="B50" s="72">
        <v>582438.92000000004</v>
      </c>
      <c r="C50" s="72">
        <v>291219.46000000002</v>
      </c>
      <c r="D50" s="71">
        <v>291219.46000000002</v>
      </c>
      <c r="E50" s="71">
        <v>145609.73000000001</v>
      </c>
      <c r="F50" s="88">
        <f t="shared" si="2"/>
        <v>1310487.57</v>
      </c>
    </row>
    <row r="51" spans="1:8" x14ac:dyDescent="0.3">
      <c r="A51" s="74" t="s">
        <v>7</v>
      </c>
      <c r="B51" s="75">
        <v>690820.69</v>
      </c>
      <c r="C51" s="75">
        <v>345410.35</v>
      </c>
      <c r="D51" s="75">
        <v>345410.35</v>
      </c>
      <c r="E51" s="76">
        <v>172705.17</v>
      </c>
      <c r="F51" s="91">
        <f t="shared" si="2"/>
        <v>1554346.5599999998</v>
      </c>
      <c r="H51" s="66"/>
    </row>
    <row r="52" spans="1:8" x14ac:dyDescent="0.3">
      <c r="A52" s="74" t="s">
        <v>8</v>
      </c>
      <c r="B52" s="75">
        <v>1600018.1</v>
      </c>
      <c r="C52" s="75">
        <v>800009.05</v>
      </c>
      <c r="D52" s="75">
        <v>800009.05</v>
      </c>
      <c r="E52" s="76">
        <v>400004.52</v>
      </c>
      <c r="F52" s="91">
        <f t="shared" si="2"/>
        <v>3600040.72</v>
      </c>
    </row>
    <row r="53" spans="1:8" x14ac:dyDescent="0.3">
      <c r="A53" s="74" t="s">
        <v>9</v>
      </c>
      <c r="B53" s="78">
        <v>1420957.65</v>
      </c>
      <c r="C53" s="78">
        <v>710478.83</v>
      </c>
      <c r="D53" s="78">
        <v>710478.83</v>
      </c>
      <c r="E53" s="77">
        <v>355239.41</v>
      </c>
      <c r="F53" s="91">
        <f t="shared" si="2"/>
        <v>3197154.72</v>
      </c>
    </row>
    <row r="54" spans="1:8" x14ac:dyDescent="0.3">
      <c r="A54" s="46" t="s">
        <v>10</v>
      </c>
      <c r="B54" s="79">
        <v>714320.8</v>
      </c>
      <c r="C54" s="79">
        <v>357160.4</v>
      </c>
      <c r="D54" s="80">
        <v>357160.4</v>
      </c>
      <c r="E54" s="79">
        <v>178580.2</v>
      </c>
      <c r="F54" s="88">
        <f t="shared" si="2"/>
        <v>1607221.8</v>
      </c>
    </row>
    <row r="55" spans="1:8" x14ac:dyDescent="0.3">
      <c r="A55" s="46" t="s">
        <v>11</v>
      </c>
      <c r="B55" s="79">
        <v>663115.24</v>
      </c>
      <c r="C55" s="79">
        <v>331557.62</v>
      </c>
      <c r="D55" s="80">
        <v>331557.62</v>
      </c>
      <c r="E55" s="79">
        <v>165778.81</v>
      </c>
      <c r="F55" s="88">
        <f t="shared" si="2"/>
        <v>1492009.29</v>
      </c>
    </row>
    <row r="56" spans="1:8" ht="14.5" thickBot="1" x14ac:dyDescent="0.35">
      <c r="A56" s="53" t="s">
        <v>22</v>
      </c>
      <c r="B56" s="69">
        <f>SUM(B44:B55)</f>
        <v>7329610.7800000003</v>
      </c>
      <c r="C56" s="69">
        <f>SUM(C44:C55)</f>
        <v>3664805.4200000004</v>
      </c>
      <c r="D56" s="69">
        <f>SUM(D44:D55)</f>
        <v>3664805.4200000004</v>
      </c>
      <c r="E56" s="69">
        <f>SUM(E44:E55)</f>
        <v>1832402.68</v>
      </c>
      <c r="F56" s="90">
        <f>SUM(F44:F55)</f>
        <v>16491624.300000001</v>
      </c>
    </row>
    <row r="57" spans="1:8" ht="14.5" thickTop="1" x14ac:dyDescent="0.3"/>
    <row r="58" spans="1:8" ht="14.5" x14ac:dyDescent="0.35">
      <c r="A58" s="43"/>
      <c r="B58" s="44">
        <v>0.02</v>
      </c>
      <c r="C58" s="44">
        <v>0.03</v>
      </c>
      <c r="D58" s="44">
        <v>0.04</v>
      </c>
      <c r="E58" s="44">
        <v>4.4999999999999998E-2</v>
      </c>
      <c r="F58" s="89"/>
    </row>
    <row r="59" spans="1:8" x14ac:dyDescent="0.3">
      <c r="A59" s="46"/>
      <c r="B59" s="144" t="s">
        <v>27</v>
      </c>
      <c r="C59" s="144" t="s">
        <v>28</v>
      </c>
      <c r="D59" s="144" t="s">
        <v>28</v>
      </c>
      <c r="E59" s="144" t="s">
        <v>29</v>
      </c>
      <c r="F59" s="144" t="s">
        <v>30</v>
      </c>
    </row>
    <row r="60" spans="1:8" x14ac:dyDescent="0.3">
      <c r="A60" s="65"/>
      <c r="B60" s="145"/>
      <c r="C60" s="145"/>
      <c r="D60" s="145"/>
      <c r="E60" s="145"/>
      <c r="F60" s="145"/>
    </row>
    <row r="61" spans="1:8" x14ac:dyDescent="0.3">
      <c r="A61" s="46" t="s">
        <v>0</v>
      </c>
      <c r="B61" s="71">
        <v>369719.42</v>
      </c>
      <c r="C61" s="71">
        <v>184859.71</v>
      </c>
      <c r="D61" s="71">
        <v>184859.71</v>
      </c>
      <c r="E61" s="71">
        <v>92429.85</v>
      </c>
      <c r="F61" s="88">
        <f>SUM(B61:E61)</f>
        <v>831868.69</v>
      </c>
    </row>
    <row r="62" spans="1:8" x14ac:dyDescent="0.3">
      <c r="A62" s="46" t="s">
        <v>1</v>
      </c>
      <c r="B62" s="71">
        <v>197819.14</v>
      </c>
      <c r="C62" s="72">
        <v>98909.57</v>
      </c>
      <c r="D62" s="72">
        <v>98909.57</v>
      </c>
      <c r="E62" s="71">
        <v>49454.79</v>
      </c>
      <c r="F62" s="88">
        <f>SUM(B62:E62)</f>
        <v>445093.07</v>
      </c>
    </row>
    <row r="63" spans="1:8" x14ac:dyDescent="0.3">
      <c r="A63" s="46" t="s">
        <v>2</v>
      </c>
      <c r="B63" s="73">
        <v>207359.09</v>
      </c>
      <c r="C63" s="73">
        <v>103679.55</v>
      </c>
      <c r="D63" s="73">
        <v>103679.55</v>
      </c>
      <c r="E63" s="71">
        <v>51839.77</v>
      </c>
      <c r="F63" s="88">
        <f>SUM(B63:E63)</f>
        <v>466557.96</v>
      </c>
    </row>
    <row r="64" spans="1:8" x14ac:dyDescent="0.3">
      <c r="A64" s="46" t="s">
        <v>3</v>
      </c>
      <c r="B64" s="70">
        <v>156222.46</v>
      </c>
      <c r="C64" s="70">
        <v>78111.23</v>
      </c>
      <c r="D64" s="70">
        <v>78111.23</v>
      </c>
      <c r="E64" s="71">
        <v>39055.620000000003</v>
      </c>
      <c r="F64" s="88">
        <f>SUM(B64:E64)</f>
        <v>351500.54</v>
      </c>
    </row>
    <row r="65" spans="1:8" x14ac:dyDescent="0.3">
      <c r="A65" s="81" t="s">
        <v>4</v>
      </c>
      <c r="B65" s="82">
        <v>202358.72</v>
      </c>
      <c r="C65" s="83">
        <v>101179.36</v>
      </c>
      <c r="D65" s="83">
        <v>101179.36</v>
      </c>
      <c r="E65" s="83">
        <v>50589.68</v>
      </c>
      <c r="F65" s="92">
        <v>455307.12</v>
      </c>
      <c r="G65" s="51"/>
      <c r="H65" s="62"/>
    </row>
    <row r="66" spans="1:8" x14ac:dyDescent="0.3">
      <c r="A66" s="46" t="s">
        <v>5</v>
      </c>
      <c r="B66" s="72">
        <v>874531.17</v>
      </c>
      <c r="C66" s="72">
        <v>437265.59</v>
      </c>
      <c r="D66" s="72">
        <v>437265.59</v>
      </c>
      <c r="E66" s="72">
        <v>218632.79</v>
      </c>
      <c r="F66" s="88">
        <f t="shared" ref="F66:F72" si="3">SUM(B66:E66)</f>
        <v>1967695.1400000001</v>
      </c>
    </row>
    <row r="67" spans="1:8" x14ac:dyDescent="0.3">
      <c r="A67" s="46" t="s">
        <v>6</v>
      </c>
      <c r="B67" s="72">
        <v>532648.93000000005</v>
      </c>
      <c r="C67" s="72">
        <v>266324.46000000002</v>
      </c>
      <c r="D67" s="72">
        <v>266324.46999999997</v>
      </c>
      <c r="E67" s="72">
        <v>133162.23000000001</v>
      </c>
      <c r="F67" s="88">
        <f t="shared" si="3"/>
        <v>1198460.0900000001</v>
      </c>
    </row>
    <row r="68" spans="1:8" x14ac:dyDescent="0.3">
      <c r="A68" s="46" t="s">
        <v>7</v>
      </c>
      <c r="B68" s="72">
        <v>758691.24</v>
      </c>
      <c r="C68" s="72">
        <v>379345.62</v>
      </c>
      <c r="D68" s="72">
        <v>379345.62</v>
      </c>
      <c r="E68" s="40">
        <v>189672.82</v>
      </c>
      <c r="F68" s="88">
        <f t="shared" si="3"/>
        <v>1707055.3</v>
      </c>
    </row>
    <row r="69" spans="1:8" x14ac:dyDescent="0.3">
      <c r="A69" s="46" t="s">
        <v>8</v>
      </c>
      <c r="B69" s="72">
        <v>1746488.92</v>
      </c>
      <c r="C69" s="72">
        <v>873244.46</v>
      </c>
      <c r="D69" s="72">
        <v>873244.45</v>
      </c>
      <c r="E69" s="40">
        <v>436622.23</v>
      </c>
      <c r="F69" s="88">
        <f t="shared" si="3"/>
        <v>3929600.06</v>
      </c>
    </row>
    <row r="70" spans="1:8" x14ac:dyDescent="0.3">
      <c r="A70" s="46" t="s">
        <v>9</v>
      </c>
      <c r="B70" s="66">
        <v>1559426.87</v>
      </c>
      <c r="C70" s="66">
        <v>779713.43</v>
      </c>
      <c r="D70" s="66">
        <v>779713.43</v>
      </c>
      <c r="E70" s="40">
        <v>389856.72</v>
      </c>
      <c r="F70" s="88">
        <f t="shared" si="3"/>
        <v>3508710.45</v>
      </c>
    </row>
    <row r="71" spans="1:8" x14ac:dyDescent="0.3">
      <c r="A71" s="46" t="s">
        <v>10</v>
      </c>
      <c r="B71" s="72">
        <v>909393.51</v>
      </c>
      <c r="C71" s="72">
        <v>454696.75</v>
      </c>
      <c r="D71" s="72">
        <v>454696.75</v>
      </c>
      <c r="E71" s="71">
        <v>227348.38</v>
      </c>
      <c r="F71" s="88">
        <f t="shared" si="3"/>
        <v>2046135.3900000001</v>
      </c>
    </row>
    <row r="72" spans="1:8" x14ac:dyDescent="0.3">
      <c r="A72" s="46" t="s">
        <v>11</v>
      </c>
      <c r="B72" s="84">
        <v>746737.11</v>
      </c>
      <c r="C72" s="84">
        <v>373368.55</v>
      </c>
      <c r="D72" s="85">
        <v>373368.55</v>
      </c>
      <c r="E72" s="85">
        <v>186684.28</v>
      </c>
      <c r="F72" s="88">
        <f t="shared" si="3"/>
        <v>1680158.49</v>
      </c>
    </row>
    <row r="73" spans="1:8" ht="14.5" thickBot="1" x14ac:dyDescent="0.35">
      <c r="A73" s="53" t="s">
        <v>22</v>
      </c>
      <c r="B73" s="69">
        <f>SUM(B61:B72)</f>
        <v>8261396.5800000001</v>
      </c>
      <c r="C73" s="69">
        <f>SUM(C61:C72)</f>
        <v>4130698.28</v>
      </c>
      <c r="D73" s="69">
        <f>SUM(D61:D72)</f>
        <v>4130698.28</v>
      </c>
      <c r="E73" s="69">
        <f>SUM(E61:E72)</f>
        <v>2065349.16</v>
      </c>
      <c r="F73" s="90">
        <f>SUM(F61:F72)</f>
        <v>18588142.299999997</v>
      </c>
    </row>
    <row r="74" spans="1:8" ht="14.5" thickTop="1" x14ac:dyDescent="0.3"/>
    <row r="75" spans="1:8" ht="14.5" x14ac:dyDescent="0.35">
      <c r="A75" s="43"/>
      <c r="B75" s="44">
        <v>0.02</v>
      </c>
      <c r="C75" s="44">
        <v>0.03</v>
      </c>
      <c r="D75" s="44">
        <v>0.04</v>
      </c>
      <c r="E75" s="44">
        <v>4.4999999999999998E-2</v>
      </c>
      <c r="F75" s="89"/>
    </row>
    <row r="76" spans="1:8" x14ac:dyDescent="0.3">
      <c r="A76" s="46"/>
      <c r="B76" s="144" t="s">
        <v>31</v>
      </c>
      <c r="C76" s="144" t="s">
        <v>32</v>
      </c>
      <c r="D76" s="144" t="s">
        <v>32</v>
      </c>
      <c r="E76" s="144" t="s">
        <v>33</v>
      </c>
      <c r="F76" s="144" t="s">
        <v>34</v>
      </c>
    </row>
    <row r="77" spans="1:8" x14ac:dyDescent="0.3">
      <c r="A77" s="65"/>
      <c r="B77" s="145"/>
      <c r="C77" s="145"/>
      <c r="D77" s="145"/>
      <c r="E77" s="145"/>
      <c r="F77" s="145"/>
    </row>
    <row r="78" spans="1:8" x14ac:dyDescent="0.3">
      <c r="A78" s="46" t="s">
        <v>0</v>
      </c>
      <c r="B78" s="71">
        <v>380160.89</v>
      </c>
      <c r="C78" s="71">
        <v>190080.45</v>
      </c>
      <c r="D78" s="71">
        <v>190080.45</v>
      </c>
      <c r="E78" s="71">
        <v>95040.22</v>
      </c>
      <c r="F78" s="88">
        <f t="shared" ref="F78:F89" si="4">SUM(B78:E78)</f>
        <v>855362.01</v>
      </c>
    </row>
    <row r="79" spans="1:8" x14ac:dyDescent="0.3">
      <c r="A79" s="46" t="s">
        <v>1</v>
      </c>
      <c r="B79" s="85">
        <v>187294.86</v>
      </c>
      <c r="C79" s="84">
        <v>93647.43</v>
      </c>
      <c r="D79" s="85">
        <v>93647.43</v>
      </c>
      <c r="E79" s="85">
        <v>46823.71</v>
      </c>
      <c r="F79" s="88">
        <f t="shared" si="4"/>
        <v>421413.43</v>
      </c>
    </row>
    <row r="80" spans="1:8" x14ac:dyDescent="0.3">
      <c r="A80" s="46" t="s">
        <v>2</v>
      </c>
      <c r="B80" s="86">
        <v>218643.85</v>
      </c>
      <c r="C80" s="86">
        <v>109321.93</v>
      </c>
      <c r="D80" s="86">
        <v>109321.93</v>
      </c>
      <c r="E80" s="85">
        <v>54660.959999999999</v>
      </c>
      <c r="F80" s="88">
        <f t="shared" si="4"/>
        <v>491948.67000000004</v>
      </c>
    </row>
    <row r="81" spans="1:8" x14ac:dyDescent="0.3">
      <c r="A81" s="46" t="s">
        <v>3</v>
      </c>
      <c r="B81" s="87">
        <v>162928.44</v>
      </c>
      <c r="C81" s="87">
        <v>81464.23</v>
      </c>
      <c r="D81" s="87">
        <v>81464.22</v>
      </c>
      <c r="E81" s="85">
        <v>40732.11</v>
      </c>
      <c r="F81" s="88">
        <f t="shared" si="4"/>
        <v>366589</v>
      </c>
    </row>
    <row r="82" spans="1:8" x14ac:dyDescent="0.3">
      <c r="A82" s="46" t="s">
        <v>4</v>
      </c>
      <c r="B82" s="84">
        <v>208017.18</v>
      </c>
      <c r="C82" s="85">
        <v>104008.59</v>
      </c>
      <c r="D82" s="85">
        <v>104008.59</v>
      </c>
      <c r="E82" s="85">
        <v>52004.29</v>
      </c>
      <c r="F82" s="88">
        <f t="shared" si="4"/>
        <v>468038.64999999997</v>
      </c>
      <c r="G82" s="51"/>
      <c r="H82" s="62"/>
    </row>
    <row r="83" spans="1:8" x14ac:dyDescent="0.3">
      <c r="A83" s="46" t="s">
        <v>5</v>
      </c>
      <c r="B83" s="84">
        <v>757760.33</v>
      </c>
      <c r="C83" s="84">
        <v>378880.17</v>
      </c>
      <c r="D83" s="84">
        <v>378880.17</v>
      </c>
      <c r="E83" s="84">
        <v>189440.08</v>
      </c>
      <c r="F83" s="88">
        <f t="shared" si="4"/>
        <v>1704960.75</v>
      </c>
    </row>
    <row r="84" spans="1:8" x14ac:dyDescent="0.3">
      <c r="A84" s="46" t="s">
        <v>6</v>
      </c>
      <c r="B84" s="72">
        <v>642133.82999999996</v>
      </c>
      <c r="C84" s="72">
        <v>321066.90999999997</v>
      </c>
      <c r="D84" s="72">
        <v>321066.90999999997</v>
      </c>
      <c r="E84" s="72">
        <v>160533.46</v>
      </c>
      <c r="F84" s="88">
        <f t="shared" si="4"/>
        <v>1444801.1099999999</v>
      </c>
    </row>
    <row r="85" spans="1:8" x14ac:dyDescent="0.3">
      <c r="A85" s="46" t="s">
        <v>7</v>
      </c>
      <c r="B85" s="72">
        <v>879161.07</v>
      </c>
      <c r="C85" s="72">
        <v>439580.54</v>
      </c>
      <c r="D85" s="72">
        <v>439580.53</v>
      </c>
      <c r="E85" s="40">
        <v>219790.27</v>
      </c>
      <c r="F85" s="88">
        <f t="shared" si="4"/>
        <v>1978112.41</v>
      </c>
    </row>
    <row r="86" spans="1:8" x14ac:dyDescent="0.3">
      <c r="A86" s="46" t="s">
        <v>8</v>
      </c>
      <c r="B86" s="72">
        <v>1836980.982222222</v>
      </c>
      <c r="C86" s="72">
        <v>918490.49111111101</v>
      </c>
      <c r="D86" s="72">
        <v>918490.49111111101</v>
      </c>
      <c r="E86" s="40">
        <v>459245.24555555551</v>
      </c>
      <c r="F86" s="88">
        <f t="shared" si="4"/>
        <v>4133207.2099999995</v>
      </c>
    </row>
    <row r="87" spans="1:8" x14ac:dyDescent="0.3">
      <c r="A87" s="46" t="s">
        <v>9</v>
      </c>
      <c r="B87" s="66">
        <v>1801878.89</v>
      </c>
      <c r="C87" s="66">
        <v>900939.45</v>
      </c>
      <c r="D87" s="66">
        <v>900939.45</v>
      </c>
      <c r="E87" s="40">
        <v>450469.72</v>
      </c>
      <c r="F87" s="88">
        <f t="shared" si="4"/>
        <v>4054227.51</v>
      </c>
    </row>
    <row r="88" spans="1:8" x14ac:dyDescent="0.3">
      <c r="A88" s="46" t="s">
        <v>10</v>
      </c>
      <c r="B88" s="72">
        <v>1033577.98</v>
      </c>
      <c r="C88" s="72">
        <v>516788.99</v>
      </c>
      <c r="D88" s="72">
        <v>516788.99</v>
      </c>
      <c r="E88" s="71">
        <v>258394.49</v>
      </c>
      <c r="F88" s="88">
        <f t="shared" si="4"/>
        <v>2325550.4500000002</v>
      </c>
    </row>
    <row r="89" spans="1:8" x14ac:dyDescent="0.3">
      <c r="A89" s="46" t="s">
        <v>11</v>
      </c>
      <c r="B89" s="84">
        <v>775248.77</v>
      </c>
      <c r="C89" s="84">
        <v>387624.38</v>
      </c>
      <c r="D89" s="85">
        <v>387624.38</v>
      </c>
      <c r="E89" s="85">
        <v>193812.19</v>
      </c>
      <c r="F89" s="88">
        <f t="shared" si="4"/>
        <v>1744309.7199999997</v>
      </c>
    </row>
    <row r="90" spans="1:8" ht="14.5" thickBot="1" x14ac:dyDescent="0.35">
      <c r="A90" s="53" t="s">
        <v>22</v>
      </c>
      <c r="B90" s="69">
        <f>SUM(B78:B89)</f>
        <v>8883787.0722222216</v>
      </c>
      <c r="C90" s="69">
        <f>SUM(C78:C89)</f>
        <v>4441893.5611111112</v>
      </c>
      <c r="D90" s="69">
        <f>SUM(D78:D89)</f>
        <v>4441893.5411111107</v>
      </c>
      <c r="E90" s="69">
        <f>SUM(E78:E89)</f>
        <v>2220946.7455555554</v>
      </c>
      <c r="F90" s="90">
        <f>SUM(F78:F89)</f>
        <v>19988520.919999998</v>
      </c>
    </row>
    <row r="91" spans="1:8" ht="14.5" thickTop="1" x14ac:dyDescent="0.3"/>
    <row r="93" spans="1:8" x14ac:dyDescent="0.3">
      <c r="A93" s="143" t="s">
        <v>123</v>
      </c>
      <c r="B93" s="110" t="s">
        <v>124</v>
      </c>
      <c r="C93" s="110" t="s">
        <v>125</v>
      </c>
      <c r="D93" s="110" t="s">
        <v>126</v>
      </c>
      <c r="E93" s="110" t="s">
        <v>127</v>
      </c>
      <c r="F93" s="111" t="s">
        <v>129</v>
      </c>
    </row>
    <row r="94" spans="1:8" ht="14.25" customHeight="1" thickBot="1" x14ac:dyDescent="0.35">
      <c r="A94" s="143"/>
      <c r="B94" s="40">
        <f>B90+B73+B56+B39+B22</f>
        <v>35446024.022222228</v>
      </c>
      <c r="C94" s="40">
        <f>C90+C73+C56+C39+C22</f>
        <v>17707801.071111109</v>
      </c>
      <c r="D94" s="40">
        <f t="shared" ref="D94" si="5">D90+D73+D56+D39+D22</f>
        <v>17707801.041111112</v>
      </c>
      <c r="E94" s="40">
        <f>E90+E73+E56+E39+E22</f>
        <v>8695421.0355555546</v>
      </c>
      <c r="F94" s="112">
        <f>F90+F73+F56+F39+F22</f>
        <v>79557047.169999987</v>
      </c>
    </row>
  </sheetData>
  <sheetProtection algorithmName="SHA-512" hashValue="w7+Vq5CRqK39RSb430OZbT7s6JpRwoomBYTTKjOy2gyjrTUIEFrQPURfU9Ng1gCZPMcVpFr4TiYOvGkY685bog==" saltValue="cvB4B/l460/H1ejb+JUHbQ==" spinCount="100000" sheet="1" objects="1" scenarios="1"/>
  <mergeCells count="26">
    <mergeCell ref="A93:A94"/>
    <mergeCell ref="B42:B43"/>
    <mergeCell ref="C42:C43"/>
    <mergeCell ref="D42:D43"/>
    <mergeCell ref="E42:E43"/>
    <mergeCell ref="F42:F43"/>
    <mergeCell ref="B76:B77"/>
    <mergeCell ref="C76:C77"/>
    <mergeCell ref="D76:D77"/>
    <mergeCell ref="E76:E77"/>
    <mergeCell ref="F76:F77"/>
    <mergeCell ref="B59:B60"/>
    <mergeCell ref="C59:C60"/>
    <mergeCell ref="D59:D60"/>
    <mergeCell ref="E59:E60"/>
    <mergeCell ref="F59:F60"/>
    <mergeCell ref="B8:B9"/>
    <mergeCell ref="C8:C9"/>
    <mergeCell ref="D8:D9"/>
    <mergeCell ref="E8:E9"/>
    <mergeCell ref="F8:F9"/>
    <mergeCell ref="B25:B26"/>
    <mergeCell ref="C25:C26"/>
    <mergeCell ref="D25:D26"/>
    <mergeCell ref="E25:E26"/>
    <mergeCell ref="F25:F26"/>
  </mergeCells>
  <pageMargins left="0.7" right="0.7" top="0.75" bottom="0.75" header="0.3" footer="0.3"/>
  <pageSetup orientation="portrait" r:id="rId1"/>
  <headerFooter alignWithMargins="0">
    <oddFooter>&amp;CPage &amp;P of &amp;N</oddFooter>
  </headerFooter>
  <rowBreaks count="2" manualBreakCount="2">
    <brk id="40" max="16383" man="1"/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7"/>
  <sheetViews>
    <sheetView topLeftCell="A118" zoomScaleNormal="100" workbookViewId="0">
      <selection activeCell="E4" sqref="E4"/>
    </sheetView>
  </sheetViews>
  <sheetFormatPr defaultColWidth="9.1796875" defaultRowHeight="13" x14ac:dyDescent="0.3"/>
  <cols>
    <col min="1" max="1" width="15.7265625" style="1" customWidth="1"/>
    <col min="2" max="4" width="15.7265625" style="2" customWidth="1"/>
    <col min="5" max="5" width="18.7265625" style="2" customWidth="1"/>
    <col min="6" max="6" width="16" style="3" bestFit="1" customWidth="1"/>
    <col min="7" max="7" width="14.1796875" style="3" bestFit="1" customWidth="1"/>
    <col min="8" max="16384" width="9.1796875" style="3"/>
  </cols>
  <sheetData>
    <row r="1" spans="1:7" x14ac:dyDescent="0.3">
      <c r="A1" s="1" t="s">
        <v>35</v>
      </c>
    </row>
    <row r="2" spans="1:7" x14ac:dyDescent="0.3">
      <c r="A2" s="1" t="s">
        <v>140</v>
      </c>
    </row>
    <row r="3" spans="1:7" x14ac:dyDescent="0.3">
      <c r="A3" s="17" t="s">
        <v>49</v>
      </c>
    </row>
    <row r="5" spans="1:7" x14ac:dyDescent="0.3">
      <c r="A5" s="4" t="s">
        <v>50</v>
      </c>
    </row>
    <row r="8" spans="1:7" s="21" customFormat="1" x14ac:dyDescent="0.3">
      <c r="B8" s="22">
        <v>0.02</v>
      </c>
      <c r="C8" s="22">
        <v>0.03</v>
      </c>
      <c r="D8" s="22">
        <v>0.04</v>
      </c>
      <c r="E8" s="22"/>
    </row>
    <row r="9" spans="1:7" x14ac:dyDescent="0.3">
      <c r="A9" s="5" t="s">
        <v>38</v>
      </c>
      <c r="B9" s="6" t="s">
        <v>51</v>
      </c>
      <c r="C9" s="6" t="s">
        <v>51</v>
      </c>
      <c r="D9" s="6" t="s">
        <v>51</v>
      </c>
      <c r="E9" s="6" t="s">
        <v>51</v>
      </c>
    </row>
    <row r="10" spans="1:7" x14ac:dyDescent="0.3">
      <c r="A10" s="7"/>
      <c r="B10" s="8" t="s">
        <v>40</v>
      </c>
      <c r="C10" s="8" t="s">
        <v>41</v>
      </c>
      <c r="D10" s="8" t="s">
        <v>41</v>
      </c>
      <c r="E10" s="9" t="s">
        <v>42</v>
      </c>
    </row>
    <row r="11" spans="1:7" x14ac:dyDescent="0.3">
      <c r="A11" s="7"/>
    </row>
    <row r="12" spans="1:7" x14ac:dyDescent="0.3">
      <c r="A12" s="5" t="s">
        <v>0</v>
      </c>
      <c r="B12" s="2">
        <v>193025.11</v>
      </c>
      <c r="C12" s="2">
        <v>96512.56</v>
      </c>
      <c r="D12" s="2">
        <v>0</v>
      </c>
      <c r="E12" s="2">
        <f>B12+C12</f>
        <v>289537.67</v>
      </c>
    </row>
    <row r="13" spans="1:7" x14ac:dyDescent="0.3">
      <c r="A13" s="5" t="s">
        <v>1</v>
      </c>
      <c r="B13" s="15">
        <v>102602.39</v>
      </c>
      <c r="C13" s="15">
        <v>51301.19</v>
      </c>
      <c r="D13" s="2">
        <v>0</v>
      </c>
      <c r="E13" s="2">
        <f>B13+C13</f>
        <v>153903.58000000002</v>
      </c>
    </row>
    <row r="14" spans="1:7" x14ac:dyDescent="0.3">
      <c r="A14" s="5" t="s">
        <v>2</v>
      </c>
      <c r="B14" s="15">
        <v>73986.69</v>
      </c>
      <c r="C14" s="15">
        <v>36993.35</v>
      </c>
      <c r="D14" s="2">
        <v>0</v>
      </c>
      <c r="E14" s="2">
        <f>B14+C14</f>
        <v>110980.04000000001</v>
      </c>
      <c r="G14" s="15"/>
    </row>
    <row r="15" spans="1:7" x14ac:dyDescent="0.3">
      <c r="A15" s="5" t="s">
        <v>3</v>
      </c>
      <c r="B15" s="15">
        <v>107240.52</v>
      </c>
      <c r="C15" s="15">
        <v>53620.26</v>
      </c>
      <c r="D15" s="2">
        <v>0</v>
      </c>
      <c r="E15" s="2">
        <f>B15+C15</f>
        <v>160860.78</v>
      </c>
      <c r="G15" s="15"/>
    </row>
    <row r="16" spans="1:7" x14ac:dyDescent="0.3">
      <c r="A16" s="5" t="s">
        <v>4</v>
      </c>
      <c r="B16" s="15">
        <v>130704.27</v>
      </c>
      <c r="C16" s="15">
        <v>65352.13</v>
      </c>
      <c r="D16" s="15">
        <v>23.69</v>
      </c>
      <c r="E16" s="2">
        <f>B16+C16+D16</f>
        <v>196080.09</v>
      </c>
      <c r="F16" s="15"/>
      <c r="G16" s="33"/>
    </row>
    <row r="17" spans="1:5" x14ac:dyDescent="0.3">
      <c r="A17" s="5" t="s">
        <v>5</v>
      </c>
      <c r="B17" s="15">
        <v>308135.05</v>
      </c>
      <c r="C17" s="15">
        <v>154067.53</v>
      </c>
      <c r="D17" s="2">
        <v>0</v>
      </c>
      <c r="E17" s="2">
        <f>B17+C17+D17</f>
        <v>462202.57999999996</v>
      </c>
    </row>
    <row r="18" spans="1:5" x14ac:dyDescent="0.3">
      <c r="A18" s="5" t="s">
        <v>6</v>
      </c>
      <c r="B18" s="15">
        <v>412264.94</v>
      </c>
      <c r="C18" s="15">
        <v>206132.47</v>
      </c>
      <c r="D18" s="2">
        <v>0</v>
      </c>
      <c r="E18" s="2">
        <f t="shared" ref="E18:E23" si="0">B18+C18+D18</f>
        <v>618397.41</v>
      </c>
    </row>
    <row r="19" spans="1:5" x14ac:dyDescent="0.3">
      <c r="A19" s="5" t="s">
        <v>7</v>
      </c>
      <c r="B19" s="15">
        <v>408870.41</v>
      </c>
      <c r="C19" s="15">
        <v>204435.21</v>
      </c>
      <c r="D19" s="15">
        <v>201905.82</v>
      </c>
      <c r="E19" s="2">
        <f t="shared" si="0"/>
        <v>815211.44</v>
      </c>
    </row>
    <row r="20" spans="1:5" x14ac:dyDescent="0.3">
      <c r="A20" s="5" t="s">
        <v>8</v>
      </c>
      <c r="B20" s="23">
        <v>830736.39</v>
      </c>
      <c r="C20" s="23">
        <v>415368.2</v>
      </c>
      <c r="D20" s="23">
        <v>405063.9</v>
      </c>
      <c r="E20" s="2">
        <f t="shared" si="0"/>
        <v>1651168.4900000002</v>
      </c>
    </row>
    <row r="21" spans="1:5" x14ac:dyDescent="0.3">
      <c r="A21" s="5" t="s">
        <v>9</v>
      </c>
      <c r="B21" s="2">
        <v>914381.2</v>
      </c>
      <c r="C21" s="2">
        <v>457190.6</v>
      </c>
      <c r="D21" s="2">
        <v>457004.16</v>
      </c>
      <c r="E21" s="2">
        <f t="shared" si="0"/>
        <v>1828575.9599999997</v>
      </c>
    </row>
    <row r="22" spans="1:5" x14ac:dyDescent="0.3">
      <c r="A22" s="5" t="s">
        <v>10</v>
      </c>
      <c r="B22" s="2">
        <v>465572.48</v>
      </c>
      <c r="C22" s="2">
        <v>232786.24</v>
      </c>
      <c r="D22" s="2">
        <v>232599.67999999999</v>
      </c>
      <c r="E22" s="2">
        <f t="shared" si="0"/>
        <v>930958.39999999991</v>
      </c>
    </row>
    <row r="23" spans="1:5" x14ac:dyDescent="0.3">
      <c r="A23" s="5" t="s">
        <v>11</v>
      </c>
      <c r="B23" s="23">
        <v>220779.9</v>
      </c>
      <c r="C23" s="23">
        <v>110389.95</v>
      </c>
      <c r="D23" s="23">
        <v>110184.84</v>
      </c>
      <c r="E23" s="2">
        <f t="shared" si="0"/>
        <v>441354.68999999994</v>
      </c>
    </row>
    <row r="24" spans="1:5" x14ac:dyDescent="0.3">
      <c r="A24" s="5"/>
    </row>
    <row r="25" spans="1:5" x14ac:dyDescent="0.3">
      <c r="A25" s="11" t="s">
        <v>43</v>
      </c>
      <c r="B25" s="2">
        <f>SUM(B12:B24)</f>
        <v>4168299.3499999996</v>
      </c>
      <c r="C25" s="2">
        <f>SUM(C11:C24)</f>
        <v>2084149.69</v>
      </c>
      <c r="D25" s="2">
        <f>SUM(D11:D24)</f>
        <v>1406782.09</v>
      </c>
      <c r="E25" s="2">
        <f>SUM(E11:E24)</f>
        <v>7659231.129999999</v>
      </c>
    </row>
    <row r="27" spans="1:5" x14ac:dyDescent="0.3">
      <c r="E27" s="2">
        <f>B25+C25+D25</f>
        <v>7659231.129999999</v>
      </c>
    </row>
    <row r="31" spans="1:5" x14ac:dyDescent="0.3">
      <c r="A31" s="21"/>
      <c r="B31" s="22">
        <v>0.02</v>
      </c>
      <c r="C31" s="22">
        <v>0.03</v>
      </c>
      <c r="D31" s="22">
        <v>0.04</v>
      </c>
      <c r="E31" s="22"/>
    </row>
    <row r="32" spans="1:5" x14ac:dyDescent="0.3">
      <c r="A32" s="5" t="s">
        <v>38</v>
      </c>
      <c r="B32" s="6" t="s">
        <v>52</v>
      </c>
      <c r="C32" s="6" t="s">
        <v>52</v>
      </c>
      <c r="D32" s="6" t="s">
        <v>52</v>
      </c>
      <c r="E32" s="6" t="s">
        <v>52</v>
      </c>
    </row>
    <row r="33" spans="1:7" x14ac:dyDescent="0.3">
      <c r="A33" s="7"/>
      <c r="B33" s="8" t="s">
        <v>40</v>
      </c>
      <c r="C33" s="8" t="s">
        <v>41</v>
      </c>
      <c r="D33" s="8" t="s">
        <v>41</v>
      </c>
      <c r="E33" s="9" t="s">
        <v>42</v>
      </c>
    </row>
    <row r="34" spans="1:7" x14ac:dyDescent="0.3">
      <c r="A34" s="7"/>
    </row>
    <row r="35" spans="1:7" x14ac:dyDescent="0.3">
      <c r="A35" s="5" t="s">
        <v>0</v>
      </c>
      <c r="B35" s="23">
        <v>198204.93</v>
      </c>
      <c r="C35" s="23">
        <v>99102.46</v>
      </c>
      <c r="D35" s="23">
        <v>99040.29</v>
      </c>
      <c r="E35" s="2">
        <f t="shared" ref="E35:E46" si="1">B35+C35+D35</f>
        <v>396347.68</v>
      </c>
    </row>
    <row r="36" spans="1:7" x14ac:dyDescent="0.3">
      <c r="A36" s="5" t="s">
        <v>1</v>
      </c>
      <c r="B36" s="23">
        <v>129283.07</v>
      </c>
      <c r="C36" s="23">
        <v>64641.54</v>
      </c>
      <c r="D36" s="23">
        <v>64425.91</v>
      </c>
      <c r="E36" s="2">
        <f t="shared" si="1"/>
        <v>258350.52000000002</v>
      </c>
    </row>
    <row r="37" spans="1:7" x14ac:dyDescent="0.3">
      <c r="A37" s="5" t="s">
        <v>2</v>
      </c>
      <c r="B37" s="15">
        <v>93338.96</v>
      </c>
      <c r="C37" s="15">
        <v>46669.48</v>
      </c>
      <c r="D37" s="2">
        <v>46669.48</v>
      </c>
      <c r="E37" s="2">
        <f t="shared" si="1"/>
        <v>186677.92</v>
      </c>
    </row>
    <row r="38" spans="1:7" x14ac:dyDescent="0.3">
      <c r="A38" s="5" t="s">
        <v>3</v>
      </c>
      <c r="B38" s="15">
        <v>122624.84</v>
      </c>
      <c r="C38" s="15">
        <v>61312.42</v>
      </c>
      <c r="D38" s="2">
        <v>61312.42</v>
      </c>
      <c r="E38" s="2">
        <f t="shared" si="1"/>
        <v>245249.68</v>
      </c>
    </row>
    <row r="39" spans="1:7" ht="15.5" x14ac:dyDescent="0.35">
      <c r="A39" s="5" t="s">
        <v>4</v>
      </c>
      <c r="B39" s="15">
        <v>160452.60999999999</v>
      </c>
      <c r="C39" s="15">
        <v>80226.31</v>
      </c>
      <c r="D39" s="15">
        <v>80226.31</v>
      </c>
      <c r="E39" s="2">
        <f t="shared" si="1"/>
        <v>320905.23</v>
      </c>
      <c r="F39" s="31"/>
      <c r="G39" s="32"/>
    </row>
    <row r="40" spans="1:7" x14ac:dyDescent="0.3">
      <c r="A40" s="5" t="s">
        <v>5</v>
      </c>
      <c r="B40" s="2">
        <v>406773.54</v>
      </c>
      <c r="C40" s="2">
        <v>203386.77</v>
      </c>
      <c r="D40" s="2">
        <v>203386.76</v>
      </c>
      <c r="E40" s="2">
        <f t="shared" si="1"/>
        <v>813547.07</v>
      </c>
    </row>
    <row r="41" spans="1:7" x14ac:dyDescent="0.3">
      <c r="A41" s="5" t="s">
        <v>6</v>
      </c>
      <c r="B41" s="15">
        <v>377555.79</v>
      </c>
      <c r="C41" s="15">
        <v>188777.89</v>
      </c>
      <c r="D41" s="2">
        <v>188777.89</v>
      </c>
      <c r="E41" s="2">
        <f t="shared" si="1"/>
        <v>755111.57</v>
      </c>
    </row>
    <row r="42" spans="1:7" x14ac:dyDescent="0.3">
      <c r="A42" s="5" t="s">
        <v>7</v>
      </c>
      <c r="B42" s="2">
        <v>469120.82</v>
      </c>
      <c r="C42" s="15">
        <v>234560.41</v>
      </c>
      <c r="D42" s="15">
        <v>234560.4</v>
      </c>
      <c r="E42" s="2">
        <f t="shared" si="1"/>
        <v>938241.63</v>
      </c>
    </row>
    <row r="43" spans="1:7" x14ac:dyDescent="0.3">
      <c r="A43" s="5" t="s">
        <v>8</v>
      </c>
      <c r="B43" s="23">
        <v>952870.54</v>
      </c>
      <c r="C43" s="23">
        <v>476435.27</v>
      </c>
      <c r="D43" s="23">
        <v>476435.27</v>
      </c>
      <c r="E43" s="2">
        <f t="shared" si="1"/>
        <v>1905741.08</v>
      </c>
    </row>
    <row r="44" spans="1:7" x14ac:dyDescent="0.3">
      <c r="A44" s="5" t="s">
        <v>9</v>
      </c>
      <c r="B44" s="2">
        <v>737041.4</v>
      </c>
      <c r="C44" s="2">
        <v>368520.7</v>
      </c>
      <c r="D44" s="2">
        <v>368520.7</v>
      </c>
      <c r="E44" s="2">
        <f t="shared" si="1"/>
        <v>1474082.8</v>
      </c>
    </row>
    <row r="45" spans="1:7" x14ac:dyDescent="0.3">
      <c r="A45" s="5" t="s">
        <v>10</v>
      </c>
      <c r="B45" s="2">
        <v>448491.93</v>
      </c>
      <c r="C45" s="2">
        <v>224245.97</v>
      </c>
      <c r="D45" s="2">
        <v>224245.96</v>
      </c>
      <c r="E45" s="2">
        <f t="shared" si="1"/>
        <v>896983.86</v>
      </c>
    </row>
    <row r="46" spans="1:7" x14ac:dyDescent="0.3">
      <c r="A46" s="5" t="s">
        <v>11</v>
      </c>
      <c r="B46" s="23">
        <v>269620.51</v>
      </c>
      <c r="C46" s="23">
        <v>134810.26</v>
      </c>
      <c r="D46" s="23">
        <v>134810.25</v>
      </c>
      <c r="E46" s="2">
        <f t="shared" si="1"/>
        <v>539241.02</v>
      </c>
    </row>
    <row r="47" spans="1:7" x14ac:dyDescent="0.3">
      <c r="A47" s="5"/>
    </row>
    <row r="48" spans="1:7" x14ac:dyDescent="0.3">
      <c r="A48" s="11" t="s">
        <v>43</v>
      </c>
      <c r="B48" s="2">
        <f>SUM(B35:B47)</f>
        <v>4365378.9400000004</v>
      </c>
      <c r="C48" s="2">
        <f>SUM(C34:C47)</f>
        <v>2182689.48</v>
      </c>
      <c r="D48" s="2">
        <f>SUM(D34:D47)</f>
        <v>2182411.6399999997</v>
      </c>
      <c r="E48" s="2">
        <f>SUM(E34:E47)</f>
        <v>8730480.0600000005</v>
      </c>
    </row>
    <row r="50" spans="1:7" x14ac:dyDescent="0.3">
      <c r="E50" s="2">
        <f>B48+C48+D48</f>
        <v>8730480.0599999987</v>
      </c>
    </row>
    <row r="54" spans="1:7" x14ac:dyDescent="0.3">
      <c r="A54" s="21"/>
      <c r="B54" s="22">
        <v>0.02</v>
      </c>
      <c r="C54" s="22">
        <v>0.03</v>
      </c>
      <c r="D54" s="22">
        <v>0.04</v>
      </c>
      <c r="E54" s="22"/>
    </row>
    <row r="55" spans="1:7" x14ac:dyDescent="0.3">
      <c r="A55" s="5" t="s">
        <v>38</v>
      </c>
      <c r="B55" s="6" t="s">
        <v>53</v>
      </c>
      <c r="C55" s="6" t="s">
        <v>53</v>
      </c>
      <c r="D55" s="6" t="s">
        <v>53</v>
      </c>
      <c r="E55" s="6" t="s">
        <v>53</v>
      </c>
    </row>
    <row r="56" spans="1:7" x14ac:dyDescent="0.3">
      <c r="A56" s="7"/>
      <c r="B56" s="8" t="s">
        <v>40</v>
      </c>
      <c r="C56" s="8" t="s">
        <v>41</v>
      </c>
      <c r="D56" s="8" t="s">
        <v>41</v>
      </c>
      <c r="E56" s="9" t="s">
        <v>42</v>
      </c>
    </row>
    <row r="57" spans="1:7" x14ac:dyDescent="0.3">
      <c r="A57" s="7"/>
    </row>
    <row r="58" spans="1:7" x14ac:dyDescent="0.3">
      <c r="A58" s="5" t="s">
        <v>0</v>
      </c>
      <c r="B58" s="23">
        <v>182176.66</v>
      </c>
      <c r="C58" s="23">
        <v>91088.33</v>
      </c>
      <c r="D58" s="23">
        <v>91088.33</v>
      </c>
      <c r="E58" s="2">
        <f>B58+C58+D58</f>
        <v>364353.32</v>
      </c>
      <c r="G58" s="23"/>
    </row>
    <row r="59" spans="1:7" x14ac:dyDescent="0.3">
      <c r="A59" s="5" t="s">
        <v>1</v>
      </c>
      <c r="B59" s="23">
        <v>132967.44</v>
      </c>
      <c r="C59" s="23">
        <v>66483.72</v>
      </c>
      <c r="D59" s="23">
        <v>66483.72</v>
      </c>
      <c r="E59" s="2">
        <f t="shared" ref="E59:E69" si="2">B59+C59+D59</f>
        <v>265934.88</v>
      </c>
      <c r="G59" s="23"/>
    </row>
    <row r="60" spans="1:7" x14ac:dyDescent="0.3">
      <c r="A60" s="5" t="s">
        <v>2</v>
      </c>
      <c r="B60" s="15">
        <v>102341.35</v>
      </c>
      <c r="C60" s="15">
        <v>51170.68</v>
      </c>
      <c r="D60" s="15">
        <v>51170.67</v>
      </c>
      <c r="E60" s="2">
        <f t="shared" si="2"/>
        <v>204682.7</v>
      </c>
      <c r="G60" s="15"/>
    </row>
    <row r="61" spans="1:7" x14ac:dyDescent="0.3">
      <c r="A61" s="5" t="s">
        <v>3</v>
      </c>
      <c r="B61" s="2">
        <v>129271.02</v>
      </c>
      <c r="C61" s="2">
        <v>64635.51</v>
      </c>
      <c r="D61" s="15">
        <v>64635.5</v>
      </c>
      <c r="E61" s="2">
        <f t="shared" si="2"/>
        <v>258542.03</v>
      </c>
      <c r="G61" s="2"/>
    </row>
    <row r="62" spans="1:7" ht="15.5" x14ac:dyDescent="0.35">
      <c r="A62" s="5" t="s">
        <v>4</v>
      </c>
      <c r="B62" s="15">
        <v>158672.32999999999</v>
      </c>
      <c r="C62" s="15">
        <v>79336.17</v>
      </c>
      <c r="D62" s="15">
        <v>79336.160000000003</v>
      </c>
      <c r="E62" s="2">
        <f t="shared" si="2"/>
        <v>317344.66000000003</v>
      </c>
      <c r="F62" s="31"/>
      <c r="G62" s="32"/>
    </row>
    <row r="63" spans="1:7" x14ac:dyDescent="0.3">
      <c r="A63" s="5" t="s">
        <v>5</v>
      </c>
      <c r="B63" s="2">
        <v>360623.77</v>
      </c>
      <c r="C63" s="15">
        <v>180311.88</v>
      </c>
      <c r="D63" s="15">
        <v>180311.88</v>
      </c>
      <c r="E63" s="2">
        <f t="shared" si="2"/>
        <v>721247.53</v>
      </c>
      <c r="G63" s="2"/>
    </row>
    <row r="64" spans="1:7" x14ac:dyDescent="0.3">
      <c r="A64" s="5" t="s">
        <v>6</v>
      </c>
      <c r="B64" s="2">
        <v>435889.02</v>
      </c>
      <c r="C64" s="2">
        <v>217944.51</v>
      </c>
      <c r="D64" s="15">
        <v>217944.5</v>
      </c>
      <c r="E64" s="2">
        <f t="shared" si="2"/>
        <v>871778.03</v>
      </c>
      <c r="G64" s="2"/>
    </row>
    <row r="65" spans="1:7" x14ac:dyDescent="0.3">
      <c r="A65" s="5" t="s">
        <v>7</v>
      </c>
      <c r="B65" s="14">
        <v>484256.25</v>
      </c>
      <c r="C65" s="14">
        <v>242128.13</v>
      </c>
      <c r="D65" s="14">
        <v>242128.12</v>
      </c>
      <c r="E65" s="2">
        <f t="shared" si="2"/>
        <v>968512.5</v>
      </c>
      <c r="G65" s="14"/>
    </row>
    <row r="66" spans="1:7" x14ac:dyDescent="0.3">
      <c r="A66" s="5" t="s">
        <v>8</v>
      </c>
      <c r="B66" s="14">
        <v>976493.95</v>
      </c>
      <c r="C66" s="14">
        <v>488246.98</v>
      </c>
      <c r="D66" s="14">
        <v>488246.97</v>
      </c>
      <c r="E66" s="2">
        <f t="shared" si="2"/>
        <v>1952987.9</v>
      </c>
      <c r="G66" s="14"/>
    </row>
    <row r="67" spans="1:7" x14ac:dyDescent="0.3">
      <c r="A67" s="5" t="s">
        <v>9</v>
      </c>
      <c r="B67" s="24">
        <v>953458.99</v>
      </c>
      <c r="C67" s="23">
        <v>476729.49</v>
      </c>
      <c r="D67" s="23">
        <v>476729.49</v>
      </c>
      <c r="E67" s="2">
        <f t="shared" si="2"/>
        <v>1906917.97</v>
      </c>
      <c r="G67" s="24"/>
    </row>
    <row r="68" spans="1:7" x14ac:dyDescent="0.3">
      <c r="A68" s="5" t="s">
        <v>10</v>
      </c>
      <c r="B68" s="24">
        <v>483301.7</v>
      </c>
      <c r="C68" s="24">
        <v>241650.85</v>
      </c>
      <c r="D68" s="24">
        <v>241650.84</v>
      </c>
      <c r="E68" s="2">
        <f t="shared" si="2"/>
        <v>966603.39</v>
      </c>
      <c r="G68" s="24"/>
    </row>
    <row r="69" spans="1:7" x14ac:dyDescent="0.3">
      <c r="A69" s="5" t="s">
        <v>11</v>
      </c>
      <c r="B69" s="2">
        <v>345926.61</v>
      </c>
      <c r="C69" s="2">
        <v>172963.3</v>
      </c>
      <c r="D69" s="2">
        <v>172963.3</v>
      </c>
      <c r="E69" s="2">
        <f t="shared" si="2"/>
        <v>691853.21</v>
      </c>
      <c r="G69" s="15"/>
    </row>
    <row r="70" spans="1:7" x14ac:dyDescent="0.3">
      <c r="A70" s="5"/>
      <c r="G70" s="15"/>
    </row>
    <row r="71" spans="1:7" x14ac:dyDescent="0.3">
      <c r="A71" s="11" t="s">
        <v>43</v>
      </c>
      <c r="B71" s="2">
        <f>SUM(B58:B70)</f>
        <v>4745379.0900000008</v>
      </c>
      <c r="C71" s="2">
        <f>SUM(C57:C70)</f>
        <v>2372689.5499999998</v>
      </c>
      <c r="D71" s="2">
        <f>SUM(D57:D70)</f>
        <v>2372689.48</v>
      </c>
      <c r="E71" s="2">
        <f>SUM(E57:E70)</f>
        <v>9490758.120000001</v>
      </c>
    </row>
    <row r="73" spans="1:7" x14ac:dyDescent="0.3">
      <c r="E73" s="2">
        <f>B71+C71+D71</f>
        <v>9490758.120000001</v>
      </c>
    </row>
    <row r="77" spans="1:7" x14ac:dyDescent="0.3">
      <c r="A77" s="21"/>
      <c r="B77" s="22">
        <v>0.02</v>
      </c>
      <c r="C77" s="22">
        <v>0.03</v>
      </c>
      <c r="D77" s="22">
        <v>0.04</v>
      </c>
      <c r="E77" s="22"/>
    </row>
    <row r="78" spans="1:7" x14ac:dyDescent="0.3">
      <c r="A78" s="5" t="s">
        <v>38</v>
      </c>
      <c r="B78" s="6" t="s">
        <v>54</v>
      </c>
      <c r="C78" s="6" t="s">
        <v>54</v>
      </c>
      <c r="D78" s="6" t="s">
        <v>54</v>
      </c>
      <c r="E78" s="6" t="s">
        <v>54</v>
      </c>
    </row>
    <row r="79" spans="1:7" x14ac:dyDescent="0.3">
      <c r="A79" s="7"/>
      <c r="B79" s="8" t="s">
        <v>40</v>
      </c>
      <c r="C79" s="8" t="s">
        <v>41</v>
      </c>
      <c r="D79" s="8" t="s">
        <v>41</v>
      </c>
      <c r="E79" s="9" t="s">
        <v>42</v>
      </c>
    </row>
    <row r="80" spans="1:7" x14ac:dyDescent="0.3">
      <c r="A80" s="7"/>
      <c r="G80" s="23"/>
    </row>
    <row r="81" spans="1:7" x14ac:dyDescent="0.3">
      <c r="A81" s="5" t="s">
        <v>0</v>
      </c>
      <c r="B81" s="23">
        <v>216157.62</v>
      </c>
      <c r="C81" s="23">
        <v>108078.81</v>
      </c>
      <c r="D81" s="23">
        <v>108078.81</v>
      </c>
      <c r="E81" s="2">
        <f>B81+C81+D81</f>
        <v>432315.24</v>
      </c>
      <c r="G81" s="23"/>
    </row>
    <row r="82" spans="1:7" x14ac:dyDescent="0.3">
      <c r="A82" s="5" t="s">
        <v>1</v>
      </c>
      <c r="B82" s="23">
        <v>131482.93</v>
      </c>
      <c r="C82" s="23">
        <v>65741.47</v>
      </c>
      <c r="D82" s="23">
        <v>65741.460000000006</v>
      </c>
      <c r="E82" s="2">
        <f t="shared" ref="E82:E92" si="3">B82+C82+D82</f>
        <v>262965.86</v>
      </c>
      <c r="G82" s="23"/>
    </row>
    <row r="83" spans="1:7" x14ac:dyDescent="0.3">
      <c r="A83" s="5" t="s">
        <v>2</v>
      </c>
      <c r="B83" s="15">
        <v>130068.15</v>
      </c>
      <c r="C83" s="15">
        <v>65034.07</v>
      </c>
      <c r="D83" s="2">
        <v>65034.07</v>
      </c>
      <c r="E83" s="2">
        <f t="shared" si="3"/>
        <v>260136.29</v>
      </c>
      <c r="G83" s="15"/>
    </row>
    <row r="84" spans="1:7" x14ac:dyDescent="0.3">
      <c r="A84" s="5" t="s">
        <v>3</v>
      </c>
      <c r="B84" s="2">
        <v>122021.32</v>
      </c>
      <c r="C84" s="2">
        <v>61010.66</v>
      </c>
      <c r="D84" s="2">
        <v>61010.66</v>
      </c>
      <c r="E84" s="2">
        <f t="shared" si="3"/>
        <v>244042.64</v>
      </c>
      <c r="G84" s="2"/>
    </row>
    <row r="85" spans="1:7" ht="15.5" x14ac:dyDescent="0.35">
      <c r="A85" s="5" t="s">
        <v>4</v>
      </c>
      <c r="B85" s="2">
        <v>161981.91</v>
      </c>
      <c r="C85" s="2">
        <v>80990.95</v>
      </c>
      <c r="D85" s="2">
        <v>80990.95</v>
      </c>
      <c r="E85" s="2">
        <f t="shared" si="3"/>
        <v>323963.81</v>
      </c>
      <c r="F85" s="31"/>
      <c r="G85" s="32"/>
    </row>
    <row r="86" spans="1:7" x14ac:dyDescent="0.3">
      <c r="A86" s="5" t="s">
        <v>5</v>
      </c>
      <c r="B86" s="2">
        <v>435558.96</v>
      </c>
      <c r="C86" s="2">
        <v>217779.48</v>
      </c>
      <c r="D86" s="2">
        <v>217779.47</v>
      </c>
      <c r="E86" s="2">
        <f t="shared" si="3"/>
        <v>871117.91</v>
      </c>
      <c r="G86" s="2"/>
    </row>
    <row r="87" spans="1:7" x14ac:dyDescent="0.3">
      <c r="A87" s="5" t="s">
        <v>6</v>
      </c>
      <c r="B87" s="23">
        <v>479161.53</v>
      </c>
      <c r="C87" s="23">
        <v>239580.77</v>
      </c>
      <c r="D87" s="23">
        <v>239580.76</v>
      </c>
      <c r="E87" s="2">
        <f t="shared" si="3"/>
        <v>958323.06</v>
      </c>
      <c r="G87" s="23"/>
    </row>
    <row r="88" spans="1:7" x14ac:dyDescent="0.3">
      <c r="A88" s="5" t="s">
        <v>7</v>
      </c>
      <c r="B88" s="2">
        <v>494415.24</v>
      </c>
      <c r="C88" s="2">
        <v>247207.62</v>
      </c>
      <c r="D88" s="2">
        <v>247207.61</v>
      </c>
      <c r="E88" s="2">
        <f t="shared" si="3"/>
        <v>988830.47</v>
      </c>
      <c r="G88" s="2"/>
    </row>
    <row r="89" spans="1:7" x14ac:dyDescent="0.3">
      <c r="A89" s="5" t="s">
        <v>8</v>
      </c>
      <c r="B89" s="23">
        <v>1174617.32</v>
      </c>
      <c r="C89" s="23">
        <v>587308.66</v>
      </c>
      <c r="D89" s="23">
        <v>587308.66</v>
      </c>
      <c r="E89" s="2">
        <f t="shared" si="3"/>
        <v>2349234.64</v>
      </c>
      <c r="G89" s="23"/>
    </row>
    <row r="90" spans="1:7" x14ac:dyDescent="0.3">
      <c r="A90" s="5" t="s">
        <v>9</v>
      </c>
      <c r="B90" s="2">
        <v>1054400</v>
      </c>
      <c r="C90" s="15">
        <v>527200</v>
      </c>
      <c r="D90" s="15">
        <v>527200</v>
      </c>
      <c r="E90" s="2">
        <f t="shared" si="3"/>
        <v>2108800</v>
      </c>
      <c r="G90" s="2"/>
    </row>
    <row r="91" spans="1:7" x14ac:dyDescent="0.3">
      <c r="A91" s="5" t="s">
        <v>10</v>
      </c>
      <c r="B91" s="2">
        <v>555853.63</v>
      </c>
      <c r="C91" s="2">
        <v>277926.81</v>
      </c>
      <c r="D91" s="2">
        <v>277926.81</v>
      </c>
      <c r="E91" s="2">
        <f t="shared" si="3"/>
        <v>1111707.25</v>
      </c>
      <c r="G91" s="2"/>
    </row>
    <row r="92" spans="1:7" x14ac:dyDescent="0.3">
      <c r="A92" s="5" t="s">
        <v>11</v>
      </c>
      <c r="B92" s="23">
        <v>382728.64</v>
      </c>
      <c r="C92" s="23">
        <v>191364.32</v>
      </c>
      <c r="D92" s="23">
        <v>191364.31</v>
      </c>
      <c r="E92" s="2">
        <f t="shared" si="3"/>
        <v>765457.27</v>
      </c>
      <c r="G92" s="15"/>
    </row>
    <row r="93" spans="1:7" x14ac:dyDescent="0.3">
      <c r="A93" s="5"/>
      <c r="G93" s="15"/>
    </row>
    <row r="94" spans="1:7" x14ac:dyDescent="0.3">
      <c r="A94" s="11" t="s">
        <v>43</v>
      </c>
      <c r="B94" s="2">
        <f>SUM(B81:B93)</f>
        <v>5338447.25</v>
      </c>
      <c r="C94" s="2">
        <f>SUM(C80:C93)</f>
        <v>2669223.62</v>
      </c>
      <c r="D94" s="2">
        <f>SUM(D80:D93)</f>
        <v>2669223.5700000003</v>
      </c>
      <c r="E94" s="2">
        <f>SUM(E80:E93)</f>
        <v>10676894.439999999</v>
      </c>
    </row>
    <row r="96" spans="1:7" x14ac:dyDescent="0.3">
      <c r="E96" s="2">
        <f>B94+C94+D94</f>
        <v>10676894.440000001</v>
      </c>
    </row>
    <row r="102" spans="1:7" x14ac:dyDescent="0.3">
      <c r="A102" s="21"/>
      <c r="B102" s="22">
        <v>0.02</v>
      </c>
      <c r="C102" s="22">
        <v>0.03</v>
      </c>
      <c r="D102" s="22">
        <v>0.04</v>
      </c>
      <c r="E102" s="22"/>
    </row>
    <row r="103" spans="1:7" x14ac:dyDescent="0.3">
      <c r="A103" s="5" t="s">
        <v>38</v>
      </c>
      <c r="B103" s="6" t="s">
        <v>55</v>
      </c>
      <c r="C103" s="6" t="s">
        <v>55</v>
      </c>
      <c r="D103" s="6" t="s">
        <v>55</v>
      </c>
      <c r="E103" s="6" t="s">
        <v>55</v>
      </c>
    </row>
    <row r="104" spans="1:7" x14ac:dyDescent="0.3">
      <c r="A104" s="7"/>
      <c r="B104" s="8" t="s">
        <v>40</v>
      </c>
      <c r="C104" s="8" t="s">
        <v>41</v>
      </c>
      <c r="D104" s="8" t="s">
        <v>41</v>
      </c>
      <c r="E104" s="9" t="s">
        <v>42</v>
      </c>
      <c r="G104" s="24"/>
    </row>
    <row r="105" spans="1:7" x14ac:dyDescent="0.3">
      <c r="A105" s="7"/>
      <c r="G105" s="24"/>
    </row>
    <row r="106" spans="1:7" x14ac:dyDescent="0.3">
      <c r="A106" s="5" t="s">
        <v>0</v>
      </c>
      <c r="B106" s="24">
        <v>238218.47</v>
      </c>
      <c r="C106" s="2">
        <v>119109.23</v>
      </c>
      <c r="D106" s="2">
        <v>119109.23</v>
      </c>
      <c r="E106" s="2">
        <f>B106+C106+D106</f>
        <v>476436.93</v>
      </c>
      <c r="G106" s="24"/>
    </row>
    <row r="107" spans="1:7" x14ac:dyDescent="0.3">
      <c r="A107" s="5" t="s">
        <v>1</v>
      </c>
      <c r="B107" s="24">
        <v>156324.79999999999</v>
      </c>
      <c r="C107" s="24">
        <v>78162.399999999994</v>
      </c>
      <c r="D107" s="24">
        <v>78162.399999999994</v>
      </c>
      <c r="E107" s="2">
        <f t="shared" ref="E107:E117" si="4">B107+C107+D107</f>
        <v>312649.59999999998</v>
      </c>
      <c r="G107" s="24"/>
    </row>
    <row r="108" spans="1:7" x14ac:dyDescent="0.3">
      <c r="A108" s="5" t="s">
        <v>2</v>
      </c>
      <c r="B108" s="2">
        <v>131207.23000000001</v>
      </c>
      <c r="C108" s="2">
        <v>65603.62</v>
      </c>
      <c r="D108" s="2">
        <v>65603.61</v>
      </c>
      <c r="E108" s="2">
        <f t="shared" si="4"/>
        <v>262414.46000000002</v>
      </c>
      <c r="G108" s="2"/>
    </row>
    <row r="109" spans="1:7" x14ac:dyDescent="0.3">
      <c r="A109" s="5" t="s">
        <v>3</v>
      </c>
      <c r="B109" s="2">
        <v>119043.18</v>
      </c>
      <c r="C109" s="2">
        <v>59521.59</v>
      </c>
      <c r="D109" s="2">
        <v>59521.58</v>
      </c>
      <c r="E109" s="2">
        <f t="shared" si="4"/>
        <v>238086.34999999998</v>
      </c>
      <c r="G109" s="2"/>
    </row>
    <row r="110" spans="1:7" ht="15.5" x14ac:dyDescent="0.35">
      <c r="A110" s="5" t="s">
        <v>4</v>
      </c>
      <c r="B110" s="2">
        <v>204480.71</v>
      </c>
      <c r="C110" s="2">
        <v>102240.36</v>
      </c>
      <c r="D110" s="2">
        <v>102240.35</v>
      </c>
      <c r="E110" s="2">
        <f t="shared" si="4"/>
        <v>408961.42000000004</v>
      </c>
      <c r="F110" s="31"/>
      <c r="G110" s="32"/>
    </row>
    <row r="111" spans="1:7" x14ac:dyDescent="0.3">
      <c r="A111" s="5" t="s">
        <v>5</v>
      </c>
      <c r="B111" s="2">
        <v>501035.98</v>
      </c>
      <c r="C111" s="2">
        <v>250519.99</v>
      </c>
      <c r="D111" s="2">
        <v>250519.99</v>
      </c>
      <c r="E111" s="2">
        <f t="shared" si="4"/>
        <v>1002075.96</v>
      </c>
      <c r="G111" s="2"/>
    </row>
    <row r="112" spans="1:7" x14ac:dyDescent="0.3">
      <c r="A112" s="5" t="s">
        <v>6</v>
      </c>
      <c r="B112" s="24">
        <v>399592.28</v>
      </c>
      <c r="C112" s="24">
        <v>199796.14</v>
      </c>
      <c r="D112" s="24">
        <v>199796.13</v>
      </c>
      <c r="E112" s="2">
        <f t="shared" si="4"/>
        <v>799184.55</v>
      </c>
      <c r="G112" s="24"/>
    </row>
    <row r="113" spans="1:7" x14ac:dyDescent="0.3">
      <c r="A113" s="5" t="s">
        <v>7</v>
      </c>
      <c r="B113" s="25">
        <v>599677.25</v>
      </c>
      <c r="C113" s="24">
        <v>299838.63</v>
      </c>
      <c r="D113" s="24">
        <v>299838.62</v>
      </c>
      <c r="E113" s="2">
        <f t="shared" si="4"/>
        <v>1199354.5</v>
      </c>
      <c r="G113" s="25"/>
    </row>
    <row r="114" spans="1:7" x14ac:dyDescent="0.3">
      <c r="A114" s="5" t="s">
        <v>8</v>
      </c>
      <c r="B114" s="23">
        <v>1154380.99</v>
      </c>
      <c r="C114" s="23">
        <v>577190.49</v>
      </c>
      <c r="D114" s="24">
        <v>577190.49</v>
      </c>
      <c r="E114" s="2">
        <f>B114+C114+D114</f>
        <v>2308761.9699999997</v>
      </c>
      <c r="G114" s="23"/>
    </row>
    <row r="115" spans="1:7" x14ac:dyDescent="0.3">
      <c r="A115" s="5" t="s">
        <v>9</v>
      </c>
      <c r="B115" s="15">
        <v>1134983.3</v>
      </c>
      <c r="C115" s="15">
        <v>567491.65</v>
      </c>
      <c r="D115" s="15">
        <v>567491.65</v>
      </c>
      <c r="E115" s="2">
        <f t="shared" si="4"/>
        <v>2269966.6</v>
      </c>
      <c r="G115" s="15"/>
    </row>
    <row r="116" spans="1:7" x14ac:dyDescent="0.3">
      <c r="A116" s="5" t="s">
        <v>10</v>
      </c>
      <c r="B116" s="20">
        <v>581851.53</v>
      </c>
      <c r="C116" s="20">
        <v>290925.76</v>
      </c>
      <c r="D116" s="20">
        <v>290925.76</v>
      </c>
      <c r="E116" s="2">
        <f t="shared" si="4"/>
        <v>1163703.05</v>
      </c>
      <c r="G116" s="20"/>
    </row>
    <row r="117" spans="1:7" x14ac:dyDescent="0.3">
      <c r="A117" s="5" t="s">
        <v>11</v>
      </c>
      <c r="B117" s="26">
        <v>394043</v>
      </c>
      <c r="C117" s="26">
        <v>197021.5</v>
      </c>
      <c r="D117" s="27">
        <v>197021.5</v>
      </c>
      <c r="E117" s="2">
        <f t="shared" si="4"/>
        <v>788086</v>
      </c>
    </row>
    <row r="118" spans="1:7" x14ac:dyDescent="0.3">
      <c r="A118" s="5"/>
      <c r="G118" s="15"/>
    </row>
    <row r="119" spans="1:7" x14ac:dyDescent="0.3">
      <c r="A119" s="11" t="s">
        <v>43</v>
      </c>
      <c r="B119" s="2">
        <f>SUM(B106:B118)</f>
        <v>5614838.7199999997</v>
      </c>
      <c r="C119" s="2">
        <f>SUM(C105:C118)</f>
        <v>2807421.3600000003</v>
      </c>
      <c r="D119" s="2">
        <f>SUM(D105:D118)</f>
        <v>2807421.3100000005</v>
      </c>
      <c r="E119" s="2">
        <f>SUM(E105:E118)</f>
        <v>11229681.390000001</v>
      </c>
    </row>
    <row r="121" spans="1:7" x14ac:dyDescent="0.3">
      <c r="E121" s="2">
        <f>B119+C119+D119</f>
        <v>11229681.390000001</v>
      </c>
    </row>
    <row r="125" spans="1:7" x14ac:dyDescent="0.3">
      <c r="A125" s="21"/>
      <c r="B125" s="22">
        <v>0.02</v>
      </c>
      <c r="C125" s="22">
        <v>0.03</v>
      </c>
      <c r="D125" s="22">
        <v>0.04</v>
      </c>
      <c r="E125" s="22"/>
    </row>
    <row r="126" spans="1:7" x14ac:dyDescent="0.3">
      <c r="A126" s="5" t="s">
        <v>38</v>
      </c>
      <c r="B126" s="6" t="s">
        <v>56</v>
      </c>
      <c r="C126" s="6" t="s">
        <v>56</v>
      </c>
      <c r="D126" s="6" t="s">
        <v>56</v>
      </c>
      <c r="E126" s="6" t="s">
        <v>56</v>
      </c>
    </row>
    <row r="127" spans="1:7" x14ac:dyDescent="0.3">
      <c r="A127" s="7"/>
      <c r="B127" s="8" t="s">
        <v>40</v>
      </c>
      <c r="C127" s="8" t="s">
        <v>41</v>
      </c>
      <c r="D127" s="8" t="s">
        <v>41</v>
      </c>
      <c r="E127" s="9" t="s">
        <v>42</v>
      </c>
    </row>
    <row r="128" spans="1:7" x14ac:dyDescent="0.3">
      <c r="A128" s="7"/>
    </row>
    <row r="129" spans="1:9" x14ac:dyDescent="0.3">
      <c r="A129" s="5" t="s">
        <v>0</v>
      </c>
      <c r="B129" s="26">
        <v>219412.84</v>
      </c>
      <c r="C129" s="26">
        <v>109706.42</v>
      </c>
      <c r="D129" s="26">
        <v>109706.41</v>
      </c>
      <c r="E129" s="2">
        <f t="shared" ref="E129:E140" si="5">SUM(B129:D129)</f>
        <v>438825.67000000004</v>
      </c>
      <c r="G129" s="26"/>
    </row>
    <row r="130" spans="1:9" x14ac:dyDescent="0.3">
      <c r="A130" s="5" t="s">
        <v>1</v>
      </c>
      <c r="B130" s="26">
        <v>120155.69</v>
      </c>
      <c r="C130" s="28">
        <v>60077.84</v>
      </c>
      <c r="D130" s="26">
        <v>60077.84</v>
      </c>
      <c r="E130" s="2">
        <f t="shared" si="5"/>
        <v>240311.37</v>
      </c>
      <c r="G130" s="26"/>
    </row>
    <row r="131" spans="1:9" x14ac:dyDescent="0.3">
      <c r="A131" s="5" t="s">
        <v>2</v>
      </c>
      <c r="B131" s="15">
        <v>120875.29</v>
      </c>
      <c r="C131" s="20">
        <v>60437.65</v>
      </c>
      <c r="D131" s="20">
        <v>60437.64</v>
      </c>
      <c r="E131" s="15">
        <f t="shared" si="5"/>
        <v>241750.58000000002</v>
      </c>
      <c r="G131" s="15"/>
    </row>
    <row r="132" spans="1:9" x14ac:dyDescent="0.3">
      <c r="A132" s="5" t="s">
        <v>3</v>
      </c>
      <c r="B132" s="19">
        <v>125905.99</v>
      </c>
      <c r="C132" s="19">
        <v>62952.99</v>
      </c>
      <c r="D132" s="19">
        <v>62952.99</v>
      </c>
      <c r="E132" s="2">
        <f t="shared" si="5"/>
        <v>251811.97</v>
      </c>
      <c r="G132" s="19"/>
    </row>
    <row r="133" spans="1:9" ht="15.5" x14ac:dyDescent="0.35">
      <c r="A133" s="5" t="s">
        <v>4</v>
      </c>
      <c r="B133" s="19">
        <v>189724.55</v>
      </c>
      <c r="C133" s="19">
        <v>94862.27</v>
      </c>
      <c r="D133" s="19">
        <v>94862.28</v>
      </c>
      <c r="E133" s="2">
        <f t="shared" si="5"/>
        <v>379449.1</v>
      </c>
      <c r="F133" s="31"/>
      <c r="G133" s="32"/>
    </row>
    <row r="134" spans="1:9" x14ac:dyDescent="0.3">
      <c r="A134" s="5" t="s">
        <v>5</v>
      </c>
      <c r="B134" s="19">
        <v>392886.89</v>
      </c>
      <c r="C134" s="19">
        <v>196443.45</v>
      </c>
      <c r="D134" s="19">
        <v>196443.44</v>
      </c>
      <c r="E134" s="2">
        <f t="shared" si="5"/>
        <v>785773.78</v>
      </c>
      <c r="G134" s="19"/>
    </row>
    <row r="135" spans="1:9" x14ac:dyDescent="0.3">
      <c r="A135" s="5" t="s">
        <v>6</v>
      </c>
      <c r="B135" s="24">
        <v>412012.72</v>
      </c>
      <c r="C135" s="24">
        <v>206006.36</v>
      </c>
      <c r="D135" s="24">
        <v>206006.35</v>
      </c>
      <c r="E135" s="2">
        <f t="shared" si="5"/>
        <v>824025.42999999993</v>
      </c>
      <c r="G135" s="24"/>
    </row>
    <row r="136" spans="1:9" ht="15.5" x14ac:dyDescent="0.35">
      <c r="A136" s="5" t="s">
        <v>7</v>
      </c>
      <c r="B136" s="24">
        <v>478653.42</v>
      </c>
      <c r="C136" s="24">
        <v>239326.71</v>
      </c>
      <c r="D136" s="24">
        <v>239326.71</v>
      </c>
      <c r="E136" s="2">
        <f t="shared" si="5"/>
        <v>957306.84</v>
      </c>
      <c r="G136" s="24"/>
      <c r="H136" s="29"/>
      <c r="I136" s="30"/>
    </row>
    <row r="137" spans="1:9" x14ac:dyDescent="0.3">
      <c r="A137" s="5" t="s">
        <v>8</v>
      </c>
      <c r="B137" s="23">
        <v>1109430.21</v>
      </c>
      <c r="C137" s="23">
        <v>554715.11</v>
      </c>
      <c r="D137" s="24">
        <v>554715.1</v>
      </c>
      <c r="E137" s="2">
        <f t="shared" si="5"/>
        <v>2218860.42</v>
      </c>
      <c r="G137" s="23"/>
    </row>
    <row r="138" spans="1:9" x14ac:dyDescent="0.3">
      <c r="A138" s="5" t="s">
        <v>9</v>
      </c>
      <c r="B138" s="15">
        <v>1084634.0900000001</v>
      </c>
      <c r="C138" s="15">
        <v>542317.04</v>
      </c>
      <c r="D138" s="15">
        <v>542317.04</v>
      </c>
      <c r="E138" s="2">
        <f t="shared" si="5"/>
        <v>2169268.17</v>
      </c>
      <c r="G138" s="15"/>
    </row>
    <row r="139" spans="1:9" x14ac:dyDescent="0.3">
      <c r="A139" s="5" t="s">
        <v>10</v>
      </c>
      <c r="B139" s="20">
        <v>541151.26</v>
      </c>
      <c r="C139" s="20">
        <v>270575.63</v>
      </c>
      <c r="D139" s="20">
        <v>270575.62</v>
      </c>
      <c r="E139" s="2">
        <f t="shared" si="5"/>
        <v>1082302.51</v>
      </c>
      <c r="G139" s="20"/>
    </row>
    <row r="140" spans="1:9" x14ac:dyDescent="0.3">
      <c r="A140" s="5" t="s">
        <v>11</v>
      </c>
      <c r="B140" s="26">
        <v>421709.36</v>
      </c>
      <c r="C140" s="26">
        <v>210854.68</v>
      </c>
      <c r="D140" s="26">
        <v>210854.67</v>
      </c>
      <c r="E140" s="2">
        <f t="shared" si="5"/>
        <v>843418.71000000008</v>
      </c>
    </row>
    <row r="141" spans="1:9" x14ac:dyDescent="0.3">
      <c r="A141" s="5"/>
      <c r="G141" s="20"/>
    </row>
    <row r="142" spans="1:9" x14ac:dyDescent="0.3">
      <c r="A142" s="11" t="s">
        <v>43</v>
      </c>
      <c r="B142" s="2">
        <f>SUM(B129:B141)</f>
        <v>5216552.3099999996</v>
      </c>
      <c r="C142" s="2">
        <f>SUM(C129:C141)</f>
        <v>2608276.15</v>
      </c>
      <c r="D142" s="2">
        <f>SUM(D129:D141)</f>
        <v>2608276.09</v>
      </c>
      <c r="E142" s="2">
        <f>SUM(E129:E141)</f>
        <v>10433104.549999999</v>
      </c>
      <c r="G142" s="20"/>
    </row>
    <row r="144" spans="1:9" x14ac:dyDescent="0.3">
      <c r="E144" s="2">
        <f>B142+C142+D142</f>
        <v>10433104.549999999</v>
      </c>
    </row>
    <row r="146" spans="1:5" x14ac:dyDescent="0.3">
      <c r="B146" s="8" t="s">
        <v>40</v>
      </c>
      <c r="C146" s="8" t="s">
        <v>41</v>
      </c>
      <c r="D146" s="8" t="s">
        <v>41</v>
      </c>
      <c r="E146" s="9" t="s">
        <v>130</v>
      </c>
    </row>
    <row r="147" spans="1:5" x14ac:dyDescent="0.3">
      <c r="A147" s="5" t="s">
        <v>122</v>
      </c>
      <c r="B147" s="2">
        <f>B142+B119+B94+B71+B48+B25</f>
        <v>29448895.660000004</v>
      </c>
      <c r="C147" s="2">
        <f t="shared" ref="C147:D147" si="6">C142+C119+C94+C71+C48+C25</f>
        <v>14724449.85</v>
      </c>
      <c r="D147" s="2">
        <f t="shared" si="6"/>
        <v>14046804.18</v>
      </c>
      <c r="E147" s="2">
        <f>E142+E119+E94+E71+E48+E25</f>
        <v>58220149.689999998</v>
      </c>
    </row>
  </sheetData>
  <sheetProtection algorithmName="SHA-512" hashValue="8UAvp3KAo1g8NOId1nV5HKDRM4hgHD6FZUoW7IqC6AoIl/54kecPnb8zqTg+YMtDbeg5TIcnqnYJc/4saSLgKQ==" saltValue="pW+P8ElnX2ZcHX/4TIwyhA==" spinCount="100000" sheet="1" objects="1" scenarios="1"/>
  <pageMargins left="0.75" right="0.75" top="1" bottom="1" header="0.5" footer="0.5"/>
  <pageSetup orientation="portrait" verticalDpi="300" r:id="rId1"/>
  <headerFooter alignWithMargins="0"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2"/>
  <sheetViews>
    <sheetView topLeftCell="A85" zoomScaleNormal="100" workbookViewId="0">
      <selection activeCell="K38" sqref="K38"/>
    </sheetView>
  </sheetViews>
  <sheetFormatPr defaultColWidth="9.1796875" defaultRowHeight="13" x14ac:dyDescent="0.3"/>
  <cols>
    <col min="1" max="1" width="18.7265625" style="1" customWidth="1"/>
    <col min="2" max="4" width="18.7265625" style="2" customWidth="1"/>
    <col min="5" max="5" width="15.26953125" style="3" bestFit="1" customWidth="1"/>
    <col min="6" max="16384" width="9.1796875" style="3"/>
  </cols>
  <sheetData>
    <row r="1" spans="1:4" x14ac:dyDescent="0.3">
      <c r="A1" s="1" t="s">
        <v>35</v>
      </c>
    </row>
    <row r="2" spans="1:4" x14ac:dyDescent="0.3">
      <c r="A2" s="1" t="s">
        <v>140</v>
      </c>
    </row>
    <row r="3" spans="1:4" x14ac:dyDescent="0.3">
      <c r="A3" s="17" t="s">
        <v>36</v>
      </c>
    </row>
    <row r="5" spans="1:4" x14ac:dyDescent="0.3">
      <c r="A5" s="4" t="s">
        <v>37</v>
      </c>
    </row>
    <row r="7" spans="1:4" s="1" customFormat="1" x14ac:dyDescent="0.3">
      <c r="A7" s="5" t="s">
        <v>38</v>
      </c>
      <c r="B7" s="6" t="s">
        <v>39</v>
      </c>
      <c r="C7" s="6" t="s">
        <v>39</v>
      </c>
      <c r="D7" s="6" t="s">
        <v>39</v>
      </c>
    </row>
    <row r="8" spans="1:4" s="10" customFormat="1" x14ac:dyDescent="0.3">
      <c r="A8" s="7"/>
      <c r="B8" s="8" t="s">
        <v>40</v>
      </c>
      <c r="C8" s="8" t="s">
        <v>41</v>
      </c>
      <c r="D8" s="9" t="s">
        <v>42</v>
      </c>
    </row>
    <row r="9" spans="1:4" s="10" customFormat="1" x14ac:dyDescent="0.3">
      <c r="A9" s="7"/>
      <c r="B9" s="8"/>
      <c r="C9" s="8"/>
      <c r="D9" s="9"/>
    </row>
    <row r="10" spans="1:4" x14ac:dyDescent="0.3">
      <c r="A10" s="5" t="s">
        <v>0</v>
      </c>
      <c r="B10" s="2">
        <v>103724.92</v>
      </c>
      <c r="C10" s="2">
        <v>0</v>
      </c>
      <c r="D10" s="2">
        <f>B10+C10</f>
        <v>103724.92</v>
      </c>
    </row>
    <row r="11" spans="1:4" x14ac:dyDescent="0.3">
      <c r="A11" s="5" t="s">
        <v>1</v>
      </c>
      <c r="B11" s="2">
        <v>56869.82</v>
      </c>
      <c r="C11" s="2">
        <v>0</v>
      </c>
      <c r="D11" s="2">
        <f t="shared" ref="D11:D21" si="0">B11+C11</f>
        <v>56869.82</v>
      </c>
    </row>
    <row r="12" spans="1:4" x14ac:dyDescent="0.3">
      <c r="A12" s="5" t="s">
        <v>2</v>
      </c>
      <c r="B12" s="2">
        <v>36211.5</v>
      </c>
      <c r="C12" s="2">
        <v>0</v>
      </c>
      <c r="D12" s="2">
        <f t="shared" si="0"/>
        <v>36211.5</v>
      </c>
    </row>
    <row r="13" spans="1:4" x14ac:dyDescent="0.3">
      <c r="A13" s="5" t="s">
        <v>3</v>
      </c>
      <c r="B13" s="2">
        <v>66801.100000000006</v>
      </c>
      <c r="C13" s="2">
        <v>0</v>
      </c>
      <c r="D13" s="2">
        <f t="shared" si="0"/>
        <v>66801.100000000006</v>
      </c>
    </row>
    <row r="14" spans="1:4" x14ac:dyDescent="0.3">
      <c r="A14" s="5" t="s">
        <v>4</v>
      </c>
      <c r="B14" s="2">
        <v>89815.55</v>
      </c>
      <c r="C14" s="2">
        <v>42995.35</v>
      </c>
      <c r="D14" s="2">
        <f t="shared" si="0"/>
        <v>132810.9</v>
      </c>
    </row>
    <row r="15" spans="1:4" x14ac:dyDescent="0.3">
      <c r="A15" s="5" t="s">
        <v>5</v>
      </c>
      <c r="B15" s="2">
        <v>156562.48000000001</v>
      </c>
      <c r="C15" s="2">
        <v>78625.009999999995</v>
      </c>
      <c r="D15" s="2">
        <f t="shared" si="0"/>
        <v>235187.49</v>
      </c>
    </row>
    <row r="16" spans="1:4" x14ac:dyDescent="0.3">
      <c r="A16" s="5" t="s">
        <v>6</v>
      </c>
      <c r="B16" s="2">
        <v>243332.92</v>
      </c>
      <c r="C16" s="2">
        <v>121533.32</v>
      </c>
      <c r="D16" s="2">
        <f t="shared" si="0"/>
        <v>364866.24</v>
      </c>
    </row>
    <row r="17" spans="1:4" x14ac:dyDescent="0.3">
      <c r="A17" s="5" t="s">
        <v>7</v>
      </c>
      <c r="B17" s="2">
        <v>253433.88</v>
      </c>
      <c r="C17" s="2">
        <v>124184.57</v>
      </c>
      <c r="D17" s="2">
        <f t="shared" si="0"/>
        <v>377618.45</v>
      </c>
    </row>
    <row r="18" spans="1:4" x14ac:dyDescent="0.3">
      <c r="A18" s="5" t="s">
        <v>8</v>
      </c>
      <c r="B18" s="2">
        <v>464932.95</v>
      </c>
      <c r="C18" s="2">
        <v>232466.45</v>
      </c>
      <c r="D18" s="2">
        <f t="shared" si="0"/>
        <v>697399.4</v>
      </c>
    </row>
    <row r="19" spans="1:4" x14ac:dyDescent="0.3">
      <c r="A19" s="5" t="s">
        <v>9</v>
      </c>
      <c r="B19" s="2">
        <v>576667.42000000004</v>
      </c>
      <c r="C19" s="2">
        <v>288269.78000000003</v>
      </c>
      <c r="D19" s="2">
        <f t="shared" si="0"/>
        <v>864937.20000000007</v>
      </c>
    </row>
    <row r="20" spans="1:4" x14ac:dyDescent="0.3">
      <c r="A20" s="5" t="s">
        <v>10</v>
      </c>
      <c r="B20" s="2">
        <v>376101.85</v>
      </c>
      <c r="C20" s="2">
        <v>186872.26</v>
      </c>
      <c r="D20" s="2">
        <f t="shared" si="0"/>
        <v>562974.11</v>
      </c>
    </row>
    <row r="21" spans="1:4" x14ac:dyDescent="0.3">
      <c r="A21" s="5" t="s">
        <v>11</v>
      </c>
      <c r="B21" s="2">
        <v>198592.3</v>
      </c>
      <c r="C21" s="2">
        <v>99296.15</v>
      </c>
      <c r="D21" s="2">
        <f t="shared" si="0"/>
        <v>297888.44999999995</v>
      </c>
    </row>
    <row r="22" spans="1:4" x14ac:dyDescent="0.3">
      <c r="A22" s="5"/>
    </row>
    <row r="23" spans="1:4" s="13" customFormat="1" x14ac:dyDescent="0.3">
      <c r="A23" s="11" t="s">
        <v>43</v>
      </c>
      <c r="B23" s="2">
        <f>SUM(B10:B22)</f>
        <v>2623046.69</v>
      </c>
      <c r="C23" s="2">
        <f>SUM(C10:C22)</f>
        <v>1174242.8899999999</v>
      </c>
      <c r="D23" s="12">
        <f>SUM(D10:D22)</f>
        <v>3797289.58</v>
      </c>
    </row>
    <row r="25" spans="1:4" x14ac:dyDescent="0.3">
      <c r="D25" s="2">
        <f>+B23+C23</f>
        <v>3797289.58</v>
      </c>
    </row>
    <row r="30" spans="1:4" x14ac:dyDescent="0.3">
      <c r="A30" s="5" t="s">
        <v>38</v>
      </c>
      <c r="B30" s="6" t="s">
        <v>44</v>
      </c>
      <c r="C30" s="6" t="s">
        <v>44</v>
      </c>
      <c r="D30" s="6" t="s">
        <v>44</v>
      </c>
    </row>
    <row r="31" spans="1:4" x14ac:dyDescent="0.3">
      <c r="A31" s="7"/>
      <c r="B31" s="8" t="s">
        <v>40</v>
      </c>
      <c r="C31" s="8" t="s">
        <v>41</v>
      </c>
      <c r="D31" s="9" t="s">
        <v>42</v>
      </c>
    </row>
    <row r="32" spans="1:4" x14ac:dyDescent="0.3">
      <c r="A32" s="7"/>
      <c r="B32" s="8"/>
      <c r="C32" s="8"/>
      <c r="D32" s="9"/>
    </row>
    <row r="33" spans="1:6" x14ac:dyDescent="0.3">
      <c r="A33" s="5" t="s">
        <v>0</v>
      </c>
      <c r="B33" s="2">
        <v>128360.92</v>
      </c>
      <c r="C33" s="2">
        <v>63316.76</v>
      </c>
      <c r="D33" s="2">
        <f>B33+C33</f>
        <v>191677.68</v>
      </c>
    </row>
    <row r="34" spans="1:6" x14ac:dyDescent="0.3">
      <c r="A34" s="5" t="s">
        <v>1</v>
      </c>
      <c r="B34" s="2">
        <v>67575.97</v>
      </c>
      <c r="C34" s="2">
        <v>33787.980000000003</v>
      </c>
      <c r="D34" s="2">
        <f t="shared" ref="D34:D44" si="1">B34+C34</f>
        <v>101363.95000000001</v>
      </c>
    </row>
    <row r="35" spans="1:6" x14ac:dyDescent="0.3">
      <c r="A35" s="5" t="s">
        <v>2</v>
      </c>
      <c r="B35" s="2">
        <v>50096.66</v>
      </c>
      <c r="C35" s="2">
        <v>25048.33</v>
      </c>
      <c r="D35" s="2">
        <f t="shared" si="1"/>
        <v>75144.990000000005</v>
      </c>
    </row>
    <row r="36" spans="1:6" x14ac:dyDescent="0.3">
      <c r="A36" s="5" t="s">
        <v>3</v>
      </c>
      <c r="B36" s="2">
        <v>78715.839999999997</v>
      </c>
      <c r="C36" s="2">
        <v>39210.639999999999</v>
      </c>
      <c r="D36" s="2">
        <f t="shared" si="1"/>
        <v>117926.48</v>
      </c>
    </row>
    <row r="37" spans="1:6" ht="15.5" x14ac:dyDescent="0.35">
      <c r="A37" s="5" t="s">
        <v>4</v>
      </c>
      <c r="B37" s="2">
        <v>100603.07</v>
      </c>
      <c r="C37" s="2">
        <v>50301.53</v>
      </c>
      <c r="D37" s="2">
        <f t="shared" si="1"/>
        <v>150904.6</v>
      </c>
      <c r="E37" s="31"/>
      <c r="F37" s="32"/>
    </row>
    <row r="38" spans="1:6" x14ac:dyDescent="0.3">
      <c r="A38" s="5" t="s">
        <v>5</v>
      </c>
      <c r="B38" s="2">
        <v>219513.65</v>
      </c>
      <c r="C38" s="2">
        <v>109756.82</v>
      </c>
      <c r="D38" s="2">
        <f t="shared" si="1"/>
        <v>329270.46999999997</v>
      </c>
    </row>
    <row r="39" spans="1:6" x14ac:dyDescent="0.3">
      <c r="A39" s="5" t="s">
        <v>6</v>
      </c>
      <c r="B39" s="2">
        <v>283424.76</v>
      </c>
      <c r="C39" s="2">
        <v>140008.54999999999</v>
      </c>
      <c r="D39" s="2">
        <f t="shared" si="1"/>
        <v>423433.31</v>
      </c>
    </row>
    <row r="40" spans="1:6" x14ac:dyDescent="0.3">
      <c r="A40" s="5" t="s">
        <v>7</v>
      </c>
      <c r="B40" s="2">
        <v>291612.75</v>
      </c>
      <c r="C40" s="2">
        <v>145806.38</v>
      </c>
      <c r="D40" s="2">
        <f t="shared" si="1"/>
        <v>437419.13</v>
      </c>
    </row>
    <row r="41" spans="1:6" x14ac:dyDescent="0.3">
      <c r="A41" s="5" t="s">
        <v>8</v>
      </c>
      <c r="B41" s="2">
        <v>570409.11</v>
      </c>
      <c r="C41" s="2">
        <v>285204.56</v>
      </c>
      <c r="D41" s="2">
        <f t="shared" si="1"/>
        <v>855613.66999999993</v>
      </c>
    </row>
    <row r="42" spans="1:6" x14ac:dyDescent="0.3">
      <c r="A42" s="5" t="s">
        <v>9</v>
      </c>
      <c r="B42" s="14">
        <v>643327.27</v>
      </c>
      <c r="C42" s="14">
        <v>321663.64</v>
      </c>
      <c r="D42" s="2">
        <f t="shared" si="1"/>
        <v>964990.91</v>
      </c>
    </row>
    <row r="43" spans="1:6" x14ac:dyDescent="0.3">
      <c r="A43" s="5" t="s">
        <v>10</v>
      </c>
      <c r="B43" s="14">
        <v>360988.73</v>
      </c>
      <c r="C43" s="14">
        <v>180361.48</v>
      </c>
      <c r="D43" s="2">
        <f t="shared" si="1"/>
        <v>541350.21</v>
      </c>
    </row>
    <row r="44" spans="1:6" x14ac:dyDescent="0.3">
      <c r="A44" s="5" t="s">
        <v>11</v>
      </c>
      <c r="B44" s="14">
        <v>201871.31</v>
      </c>
      <c r="C44" s="14">
        <v>100935.66</v>
      </c>
      <c r="D44" s="2">
        <f t="shared" si="1"/>
        <v>302806.96999999997</v>
      </c>
    </row>
    <row r="45" spans="1:6" x14ac:dyDescent="0.3">
      <c r="A45" s="5"/>
    </row>
    <row r="46" spans="1:6" x14ac:dyDescent="0.3">
      <c r="A46" s="11" t="s">
        <v>43</v>
      </c>
      <c r="B46" s="2">
        <f>SUM(B33:B45)</f>
        <v>2996500.04</v>
      </c>
      <c r="C46" s="2">
        <f>SUM(C33:C45)</f>
        <v>1495402.3299999998</v>
      </c>
      <c r="D46" s="12">
        <f>SUM(D33:D45)</f>
        <v>4491902.37</v>
      </c>
    </row>
    <row r="48" spans="1:6" x14ac:dyDescent="0.3">
      <c r="B48" s="2">
        <v>2996500.04</v>
      </c>
      <c r="D48" s="2">
        <f>+B46+C46</f>
        <v>4491902.37</v>
      </c>
    </row>
    <row r="54" spans="1:6" x14ac:dyDescent="0.3">
      <c r="A54" s="5" t="s">
        <v>38</v>
      </c>
      <c r="B54" s="6" t="s">
        <v>45</v>
      </c>
      <c r="C54" s="6" t="s">
        <v>45</v>
      </c>
      <c r="D54" s="6" t="s">
        <v>45</v>
      </c>
    </row>
    <row r="55" spans="1:6" x14ac:dyDescent="0.3">
      <c r="A55" s="7"/>
      <c r="B55" s="8" t="s">
        <v>40</v>
      </c>
      <c r="C55" s="8" t="s">
        <v>41</v>
      </c>
      <c r="D55" s="9" t="s">
        <v>42</v>
      </c>
    </row>
    <row r="56" spans="1:6" x14ac:dyDescent="0.3">
      <c r="A56" s="7"/>
      <c r="B56" s="8"/>
      <c r="C56" s="8"/>
      <c r="D56" s="9"/>
    </row>
    <row r="57" spans="1:6" x14ac:dyDescent="0.3">
      <c r="A57" s="5" t="s">
        <v>0</v>
      </c>
      <c r="B57" s="2">
        <v>127763.17</v>
      </c>
      <c r="C57" s="2">
        <v>63497</v>
      </c>
      <c r="D57" s="2">
        <f>B57+C57</f>
        <v>191260.16999999998</v>
      </c>
    </row>
    <row r="58" spans="1:6" x14ac:dyDescent="0.3">
      <c r="A58" s="5" t="s">
        <v>1</v>
      </c>
      <c r="B58" s="2">
        <v>76352.42</v>
      </c>
      <c r="C58" s="2">
        <v>38158.51</v>
      </c>
      <c r="D58" s="2">
        <f t="shared" ref="D58:D68" si="2">B58+C58</f>
        <v>114510.93</v>
      </c>
    </row>
    <row r="59" spans="1:6" x14ac:dyDescent="0.3">
      <c r="A59" s="5" t="s">
        <v>2</v>
      </c>
      <c r="B59" s="14">
        <v>48202.67</v>
      </c>
      <c r="C59" s="14">
        <v>24101.33</v>
      </c>
      <c r="D59" s="2">
        <f t="shared" si="2"/>
        <v>72304</v>
      </c>
    </row>
    <row r="60" spans="1:6" x14ac:dyDescent="0.3">
      <c r="A60" s="5" t="s">
        <v>3</v>
      </c>
      <c r="B60" s="15">
        <v>81933.36</v>
      </c>
      <c r="C60" s="15">
        <v>40966.68</v>
      </c>
      <c r="D60" s="2">
        <f t="shared" si="2"/>
        <v>122900.04000000001</v>
      </c>
    </row>
    <row r="61" spans="1:6" ht="15.5" x14ac:dyDescent="0.35">
      <c r="A61" s="5" t="s">
        <v>4</v>
      </c>
      <c r="B61" s="15">
        <v>117128.35</v>
      </c>
      <c r="C61" s="15">
        <v>58564.17</v>
      </c>
      <c r="D61" s="2">
        <f t="shared" si="2"/>
        <v>175692.52000000002</v>
      </c>
      <c r="E61" s="31"/>
      <c r="F61" s="32"/>
    </row>
    <row r="62" spans="1:6" x14ac:dyDescent="0.3">
      <c r="A62" s="5" t="s">
        <v>5</v>
      </c>
      <c r="B62" s="15">
        <v>242526.35</v>
      </c>
      <c r="C62" s="15">
        <v>121263.18</v>
      </c>
      <c r="D62" s="2">
        <f t="shared" si="2"/>
        <v>363789.53</v>
      </c>
    </row>
    <row r="63" spans="1:6" x14ac:dyDescent="0.3">
      <c r="A63" s="5" t="s">
        <v>6</v>
      </c>
      <c r="B63" s="15">
        <v>301030.15000000002</v>
      </c>
      <c r="C63" s="15">
        <v>150515.07999999999</v>
      </c>
      <c r="D63" s="2">
        <f t="shared" si="2"/>
        <v>451545.23</v>
      </c>
    </row>
    <row r="64" spans="1:6" x14ac:dyDescent="0.3">
      <c r="A64" s="5" t="s">
        <v>7</v>
      </c>
      <c r="B64" s="15">
        <v>307258.18</v>
      </c>
      <c r="C64" s="15">
        <v>153629.09</v>
      </c>
      <c r="D64" s="2">
        <f t="shared" si="2"/>
        <v>460887.27</v>
      </c>
    </row>
    <row r="65" spans="1:5" x14ac:dyDescent="0.3">
      <c r="A65" s="5" t="s">
        <v>8</v>
      </c>
      <c r="B65" s="15">
        <v>603595.80000000005</v>
      </c>
      <c r="C65" s="15">
        <v>301797.90000000002</v>
      </c>
      <c r="D65" s="2">
        <f t="shared" si="2"/>
        <v>905393.70000000007</v>
      </c>
    </row>
    <row r="66" spans="1:5" x14ac:dyDescent="0.3">
      <c r="A66" s="5" t="s">
        <v>9</v>
      </c>
      <c r="B66" s="15">
        <v>662185.85</v>
      </c>
      <c r="C66" s="15">
        <v>331092.92</v>
      </c>
      <c r="D66" s="2">
        <f t="shared" si="2"/>
        <v>993278.77</v>
      </c>
    </row>
    <row r="67" spans="1:5" x14ac:dyDescent="0.3">
      <c r="A67" s="5" t="s">
        <v>10</v>
      </c>
      <c r="B67" s="15">
        <v>355645.3</v>
      </c>
      <c r="C67" s="15">
        <v>177822.65</v>
      </c>
      <c r="D67" s="2">
        <f t="shared" si="2"/>
        <v>533467.94999999995</v>
      </c>
    </row>
    <row r="68" spans="1:5" x14ac:dyDescent="0.3">
      <c r="A68" s="5" t="s">
        <v>11</v>
      </c>
      <c r="B68" s="15">
        <v>202445.89</v>
      </c>
      <c r="C68" s="15">
        <v>101222.95</v>
      </c>
      <c r="D68" s="2">
        <f t="shared" si="2"/>
        <v>303668.84000000003</v>
      </c>
    </row>
    <row r="69" spans="1:5" x14ac:dyDescent="0.3">
      <c r="A69" s="5"/>
    </row>
    <row r="70" spans="1:5" x14ac:dyDescent="0.3">
      <c r="A70" s="11" t="s">
        <v>43</v>
      </c>
      <c r="B70" s="2">
        <f>SUM(B56:B69)</f>
        <v>3126067.4899999998</v>
      </c>
      <c r="C70" s="2">
        <f>SUM(C56:C69)</f>
        <v>1562631.4599999997</v>
      </c>
      <c r="D70" s="2">
        <f>SUM(D56:D69)</f>
        <v>4688698.95</v>
      </c>
    </row>
    <row r="72" spans="1:5" x14ac:dyDescent="0.3">
      <c r="D72" s="2">
        <f>B70+C70</f>
        <v>4688698.9499999993</v>
      </c>
    </row>
    <row r="76" spans="1:5" x14ac:dyDescent="0.3">
      <c r="A76" s="5" t="s">
        <v>38</v>
      </c>
      <c r="B76" s="6" t="s">
        <v>46</v>
      </c>
      <c r="C76" s="6" t="s">
        <v>46</v>
      </c>
      <c r="D76" s="6" t="s">
        <v>46</v>
      </c>
    </row>
    <row r="77" spans="1:5" x14ac:dyDescent="0.3">
      <c r="A77" s="7"/>
      <c r="B77" s="8" t="s">
        <v>40</v>
      </c>
      <c r="C77" s="8" t="s">
        <v>41</v>
      </c>
      <c r="D77" s="9" t="s">
        <v>42</v>
      </c>
    </row>
    <row r="78" spans="1:5" x14ac:dyDescent="0.3">
      <c r="A78" s="7"/>
      <c r="B78" s="8"/>
      <c r="C78" s="8"/>
      <c r="D78" s="9"/>
    </row>
    <row r="79" spans="1:5" x14ac:dyDescent="0.3">
      <c r="A79" s="5" t="s">
        <v>0</v>
      </c>
      <c r="B79" s="15">
        <v>124489.73</v>
      </c>
      <c r="C79" s="15">
        <v>62244.87</v>
      </c>
      <c r="D79" s="2">
        <f t="shared" ref="D79:D90" si="3">B79+C79</f>
        <v>186734.6</v>
      </c>
      <c r="E79" s="16"/>
    </row>
    <row r="80" spans="1:5" x14ac:dyDescent="0.3">
      <c r="A80" s="5" t="s">
        <v>1</v>
      </c>
      <c r="B80" s="15">
        <v>84784.52</v>
      </c>
      <c r="C80" s="15">
        <v>42392.27</v>
      </c>
      <c r="D80" s="2">
        <f t="shared" si="3"/>
        <v>127176.79000000001</v>
      </c>
      <c r="E80" s="16"/>
    </row>
    <row r="81" spans="1:6" x14ac:dyDescent="0.3">
      <c r="A81" s="5" t="s">
        <v>2</v>
      </c>
      <c r="B81" s="15">
        <v>53852.18</v>
      </c>
      <c r="C81" s="15">
        <v>26926.1</v>
      </c>
      <c r="D81" s="2">
        <f t="shared" si="3"/>
        <v>80778.28</v>
      </c>
      <c r="E81" s="16"/>
    </row>
    <row r="82" spans="1:6" x14ac:dyDescent="0.3">
      <c r="A82" s="5" t="s">
        <v>3</v>
      </c>
      <c r="B82" s="15">
        <v>80263.34</v>
      </c>
      <c r="C82" s="15">
        <v>40131.67</v>
      </c>
      <c r="D82" s="2">
        <f t="shared" si="3"/>
        <v>120395.01</v>
      </c>
      <c r="E82" s="16"/>
    </row>
    <row r="83" spans="1:6" ht="15.5" x14ac:dyDescent="0.35">
      <c r="A83" s="5" t="s">
        <v>4</v>
      </c>
      <c r="B83" s="15">
        <v>119727</v>
      </c>
      <c r="C83" s="15">
        <v>59863.5</v>
      </c>
      <c r="D83" s="2">
        <f t="shared" si="3"/>
        <v>179590.5</v>
      </c>
      <c r="E83" s="31"/>
      <c r="F83" s="32"/>
    </row>
    <row r="84" spans="1:6" x14ac:dyDescent="0.3">
      <c r="A84" s="5" t="s">
        <v>5</v>
      </c>
      <c r="B84" s="15">
        <v>288984.89</v>
      </c>
      <c r="C84" s="15">
        <v>144492.45000000001</v>
      </c>
      <c r="D84" s="2">
        <f t="shared" si="3"/>
        <v>433477.34</v>
      </c>
    </row>
    <row r="85" spans="1:6" x14ac:dyDescent="0.3">
      <c r="A85" s="5" t="s">
        <v>6</v>
      </c>
      <c r="B85" s="15">
        <v>298440.51</v>
      </c>
      <c r="C85" s="15">
        <v>149220.26</v>
      </c>
      <c r="D85" s="2">
        <f t="shared" si="3"/>
        <v>447660.77</v>
      </c>
    </row>
    <row r="86" spans="1:6" x14ac:dyDescent="0.3">
      <c r="A86" s="5" t="s">
        <v>7</v>
      </c>
      <c r="B86" s="2">
        <v>334595.87</v>
      </c>
      <c r="C86" s="2">
        <v>167297.94</v>
      </c>
      <c r="D86" s="2">
        <f t="shared" si="3"/>
        <v>501893.81</v>
      </c>
    </row>
    <row r="87" spans="1:6" x14ac:dyDescent="0.3">
      <c r="A87" s="5" t="s">
        <v>8</v>
      </c>
      <c r="B87" s="15">
        <v>647850.04</v>
      </c>
      <c r="C87" s="15">
        <v>323925.02</v>
      </c>
      <c r="D87" s="2">
        <f t="shared" si="3"/>
        <v>971775.06</v>
      </c>
    </row>
    <row r="88" spans="1:6" x14ac:dyDescent="0.3">
      <c r="A88" s="5" t="s">
        <v>9</v>
      </c>
      <c r="B88" s="2">
        <v>730547.74</v>
      </c>
      <c r="C88" s="2">
        <v>365273.87</v>
      </c>
      <c r="D88" s="2">
        <f t="shared" si="3"/>
        <v>1095821.6099999999</v>
      </c>
    </row>
    <row r="89" spans="1:6" x14ac:dyDescent="0.3">
      <c r="A89" s="5" t="s">
        <v>10</v>
      </c>
      <c r="B89" s="2">
        <v>428562.62</v>
      </c>
      <c r="C89" s="2">
        <v>214281.31</v>
      </c>
      <c r="D89" s="2">
        <f t="shared" si="3"/>
        <v>642843.92999999993</v>
      </c>
    </row>
    <row r="90" spans="1:6" x14ac:dyDescent="0.3">
      <c r="A90" s="5" t="s">
        <v>11</v>
      </c>
      <c r="B90" s="15">
        <v>254948.81</v>
      </c>
      <c r="C90" s="15">
        <v>127474.4</v>
      </c>
      <c r="D90" s="2">
        <f t="shared" si="3"/>
        <v>382423.20999999996</v>
      </c>
    </row>
    <row r="91" spans="1:6" x14ac:dyDescent="0.3">
      <c r="A91" s="5"/>
    </row>
    <row r="92" spans="1:6" x14ac:dyDescent="0.3">
      <c r="A92" s="11" t="s">
        <v>43</v>
      </c>
      <c r="B92" s="2">
        <f>SUM(B79:B91)</f>
        <v>3447047.2500000005</v>
      </c>
      <c r="C92" s="2">
        <f>SUM(C78:C91)</f>
        <v>1723523.6600000001</v>
      </c>
      <c r="D92" s="2">
        <f>SUM(D78:D91)</f>
        <v>5170570.91</v>
      </c>
    </row>
    <row r="94" spans="1:6" x14ac:dyDescent="0.3">
      <c r="D94" s="2">
        <f>B92+C92</f>
        <v>5170570.91</v>
      </c>
    </row>
    <row r="96" spans="1:6" x14ac:dyDescent="0.3">
      <c r="A96" s="17"/>
      <c r="B96" s="18" t="s">
        <v>47</v>
      </c>
    </row>
    <row r="99" spans="1:6" x14ac:dyDescent="0.3">
      <c r="C99"/>
    </row>
    <row r="100" spans="1:6" x14ac:dyDescent="0.3">
      <c r="A100" s="5" t="s">
        <v>38</v>
      </c>
      <c r="B100" s="6" t="s">
        <v>48</v>
      </c>
      <c r="C100" s="6" t="s">
        <v>48</v>
      </c>
      <c r="D100" s="6" t="s">
        <v>48</v>
      </c>
    </row>
    <row r="101" spans="1:6" x14ac:dyDescent="0.3">
      <c r="A101" s="7"/>
      <c r="B101" s="8" t="s">
        <v>40</v>
      </c>
      <c r="C101" s="8" t="s">
        <v>41</v>
      </c>
      <c r="D101" s="9" t="s">
        <v>42</v>
      </c>
    </row>
    <row r="102" spans="1:6" x14ac:dyDescent="0.3">
      <c r="A102" s="7"/>
    </row>
    <row r="103" spans="1:6" x14ac:dyDescent="0.3">
      <c r="A103" s="5" t="s">
        <v>0</v>
      </c>
      <c r="B103" s="19">
        <v>156161.29999999999</v>
      </c>
      <c r="C103" s="19">
        <v>78080.649999999994</v>
      </c>
      <c r="D103" s="2">
        <f t="shared" ref="D103:D114" si="4">B103+C103</f>
        <v>234241.94999999998</v>
      </c>
    </row>
    <row r="104" spans="1:6" x14ac:dyDescent="0.3">
      <c r="A104" s="5" t="s">
        <v>1</v>
      </c>
      <c r="B104" s="19">
        <v>88184.69</v>
      </c>
      <c r="C104" s="19">
        <v>44092.34</v>
      </c>
      <c r="D104" s="2">
        <f t="shared" si="4"/>
        <v>132277.03</v>
      </c>
    </row>
    <row r="105" spans="1:6" x14ac:dyDescent="0.3">
      <c r="A105" s="5" t="s">
        <v>2</v>
      </c>
      <c r="B105" s="20">
        <v>68615.69</v>
      </c>
      <c r="C105" s="20">
        <v>34307.85</v>
      </c>
      <c r="D105" s="2">
        <f t="shared" si="4"/>
        <v>102923.54000000001</v>
      </c>
    </row>
    <row r="106" spans="1:6" x14ac:dyDescent="0.3">
      <c r="A106" s="5" t="s">
        <v>3</v>
      </c>
      <c r="B106" s="20">
        <v>80944.05</v>
      </c>
      <c r="C106" s="20">
        <v>40472.019999999997</v>
      </c>
      <c r="D106" s="2">
        <f t="shared" si="4"/>
        <v>121416.07</v>
      </c>
    </row>
    <row r="107" spans="1:6" ht="15.5" x14ac:dyDescent="0.35">
      <c r="A107" s="5" t="s">
        <v>4</v>
      </c>
      <c r="B107" s="20">
        <v>128733.08</v>
      </c>
      <c r="C107" s="20">
        <v>64366.54</v>
      </c>
      <c r="D107" s="2">
        <f t="shared" si="4"/>
        <v>193099.62</v>
      </c>
      <c r="E107" s="31"/>
      <c r="F107" s="32"/>
    </row>
    <row r="108" spans="1:6" x14ac:dyDescent="0.3">
      <c r="A108" s="5" t="s">
        <v>5</v>
      </c>
      <c r="B108" s="20">
        <v>268939.34999999998</v>
      </c>
      <c r="C108" s="20">
        <v>134469.67000000001</v>
      </c>
      <c r="D108" s="2">
        <f t="shared" si="4"/>
        <v>403409.02</v>
      </c>
    </row>
    <row r="109" spans="1:6" x14ac:dyDescent="0.3">
      <c r="A109" s="5" t="s">
        <v>6</v>
      </c>
      <c r="B109" s="20">
        <v>380718.45</v>
      </c>
      <c r="C109" s="20">
        <v>190359.22</v>
      </c>
      <c r="D109" s="2">
        <f t="shared" si="4"/>
        <v>571077.67000000004</v>
      </c>
    </row>
    <row r="110" spans="1:6" x14ac:dyDescent="0.3">
      <c r="A110" s="5" t="s">
        <v>7</v>
      </c>
      <c r="B110" s="20">
        <v>389167.93</v>
      </c>
      <c r="C110" s="20">
        <v>194583.96</v>
      </c>
      <c r="D110" s="2">
        <f t="shared" si="4"/>
        <v>583751.89</v>
      </c>
    </row>
    <row r="111" spans="1:6" x14ac:dyDescent="0.3">
      <c r="A111" s="5" t="s">
        <v>8</v>
      </c>
      <c r="B111" s="20">
        <v>743435.31</v>
      </c>
      <c r="C111" s="20">
        <v>371717.66</v>
      </c>
      <c r="D111" s="2">
        <f t="shared" si="4"/>
        <v>1115152.97</v>
      </c>
    </row>
    <row r="112" spans="1:6" x14ac:dyDescent="0.3">
      <c r="A112" s="5" t="s">
        <v>9</v>
      </c>
      <c r="B112" s="20">
        <v>761058.7</v>
      </c>
      <c r="C112" s="20">
        <v>380529.35</v>
      </c>
      <c r="D112" s="2">
        <f t="shared" si="4"/>
        <v>1141588.0499999998</v>
      </c>
    </row>
    <row r="113" spans="1:4" x14ac:dyDescent="0.3">
      <c r="A113" s="5" t="s">
        <v>10</v>
      </c>
      <c r="B113" s="20">
        <v>485713.24</v>
      </c>
      <c r="C113" s="20">
        <v>242856.62</v>
      </c>
      <c r="D113" s="2">
        <f t="shared" si="4"/>
        <v>728569.86</v>
      </c>
    </row>
    <row r="114" spans="1:4" x14ac:dyDescent="0.3">
      <c r="A114" s="5" t="s">
        <v>11</v>
      </c>
      <c r="B114" s="20">
        <v>288149.5</v>
      </c>
      <c r="C114" s="20">
        <v>144074.75</v>
      </c>
      <c r="D114" s="2">
        <f t="shared" si="4"/>
        <v>432224.25</v>
      </c>
    </row>
    <row r="115" spans="1:4" x14ac:dyDescent="0.3">
      <c r="A115" s="5"/>
    </row>
    <row r="116" spans="1:4" x14ac:dyDescent="0.3">
      <c r="A116" s="11" t="s">
        <v>43</v>
      </c>
      <c r="B116" s="2">
        <f>SUM(B103:B115)</f>
        <v>3839821.29</v>
      </c>
      <c r="C116" s="2">
        <f>SUM(C102:C115)</f>
        <v>1919910.63</v>
      </c>
      <c r="D116" s="2">
        <f>SUM(D102:D115)</f>
        <v>5759731.9199999999</v>
      </c>
    </row>
    <row r="118" spans="1:4" x14ac:dyDescent="0.3">
      <c r="D118" s="2">
        <f>B116+C116</f>
        <v>5759731.9199999999</v>
      </c>
    </row>
    <row r="120" spans="1:4" x14ac:dyDescent="0.3">
      <c r="B120" s="8" t="s">
        <v>40</v>
      </c>
      <c r="C120" s="8" t="s">
        <v>41</v>
      </c>
      <c r="D120" s="9" t="s">
        <v>131</v>
      </c>
    </row>
    <row r="121" spans="1:4" x14ac:dyDescent="0.3">
      <c r="A121" s="5" t="s">
        <v>121</v>
      </c>
      <c r="B121" s="2">
        <f>B116+B92+B70+B46+B23</f>
        <v>16032482.76</v>
      </c>
      <c r="C121" s="2">
        <f t="shared" ref="C121" si="5">C116+C92+C70+C46+C23</f>
        <v>7875710.9699999997</v>
      </c>
      <c r="D121" s="2">
        <f>D116+D92+D70+D46+D23</f>
        <v>23908193.730000004</v>
      </c>
    </row>
    <row r="122" spans="1:4" customFormat="1" ht="12.5" x14ac:dyDescent="0.25"/>
    <row r="123" spans="1:4" customFormat="1" ht="12.5" x14ac:dyDescent="0.25"/>
    <row r="124" spans="1:4" customFormat="1" ht="12.5" x14ac:dyDescent="0.25"/>
    <row r="125" spans="1:4" customFormat="1" ht="12.5" x14ac:dyDescent="0.25"/>
    <row r="126" spans="1:4" customFormat="1" ht="12.5" x14ac:dyDescent="0.25"/>
    <row r="127" spans="1:4" customFormat="1" ht="12.5" x14ac:dyDescent="0.25"/>
    <row r="128" spans="1:4" customFormat="1" ht="12.5" x14ac:dyDescent="0.25"/>
    <row r="129" customFormat="1" ht="12.5" x14ac:dyDescent="0.25"/>
    <row r="130" customFormat="1" ht="12.5" x14ac:dyDescent="0.25"/>
    <row r="131" customFormat="1" ht="12.5" x14ac:dyDescent="0.25"/>
    <row r="132" customFormat="1" ht="12.5" x14ac:dyDescent="0.25"/>
    <row r="133" customFormat="1" ht="12.5" x14ac:dyDescent="0.25"/>
    <row r="134" customFormat="1" ht="12.5" x14ac:dyDescent="0.25"/>
    <row r="135" customFormat="1" ht="12.5" x14ac:dyDescent="0.25"/>
    <row r="136" customFormat="1" ht="12.5" x14ac:dyDescent="0.25"/>
    <row r="137" customFormat="1" ht="12.5" x14ac:dyDescent="0.25"/>
    <row r="138" customFormat="1" ht="12.5" x14ac:dyDescent="0.25"/>
    <row r="139" customFormat="1" ht="12.5" x14ac:dyDescent="0.25"/>
    <row r="140" customFormat="1" ht="12.5" x14ac:dyDescent="0.25"/>
    <row r="141" customFormat="1" ht="12.5" x14ac:dyDescent="0.25"/>
    <row r="142" customFormat="1" ht="12.5" x14ac:dyDescent="0.25"/>
  </sheetData>
  <sheetProtection algorithmName="SHA-512" hashValue="n98L5k4Kbky5nxUb5gLLUL8O5HAhT7IeWf/TySE7DGLnoYi+NTbb0wqlRG3LqVMvI/Q9Oet8UL7sMmmtHBpB5g==" saltValue="9j2QMKteFi9plA1R0dlpOw==" spinCount="100000" sheet="1" objects="1" scenarios="1"/>
  <pageMargins left="0.75" right="0.75" top="1" bottom="1" header="0.5" footer="0.5"/>
  <pageSetup orientation="portrait" verticalDpi="300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SW FYTD YOY @ 2%</vt:lpstr>
      <vt:lpstr>FY2020-Present - 5% SW TDT</vt:lpstr>
      <vt:lpstr>FY2015-2019 - 4% SW TDT</vt:lpstr>
      <vt:lpstr>FY2010-2014 - 4.5% SW TDT</vt:lpstr>
      <vt:lpstr>FY2004-2009 - 4% SW TDT</vt:lpstr>
      <vt:lpstr>FY1999-2003 - 3% SW TDT</vt:lpstr>
      <vt:lpstr>'FY1999-2003 - 3% SW TDT'!Print_Titles</vt:lpstr>
      <vt:lpstr>'FY2004-2009 - 4% SW TDT'!Print_Titles</vt:lpstr>
      <vt:lpstr>'FY2010-2014 - 4.5% SW TDT'!Print_Titles</vt:lpstr>
      <vt:lpstr>'FY2015-2019 - 4% SW TDT'!Print_Titles</vt:lpstr>
      <vt:lpstr>'FY2020-Present - 5% SW TDT'!Print_Titles</vt:lpstr>
    </vt:vector>
  </TitlesOfParts>
  <Company>South Walton Annex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Sunday</dc:creator>
  <cp:lastModifiedBy>Tori Waters</cp:lastModifiedBy>
  <cp:lastPrinted>2014-08-01T19:18:47Z</cp:lastPrinted>
  <dcterms:created xsi:type="dcterms:W3CDTF">1999-11-30T22:09:53Z</dcterms:created>
  <dcterms:modified xsi:type="dcterms:W3CDTF">2026-03-10T20:23:44Z</dcterms:modified>
</cp:coreProperties>
</file>